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15600" windowHeight="924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<sst xmlns="http://schemas.openxmlformats.org/spreadsheetml/2006/main" count="513" uniqueCount="241">
  <si>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</si>
  <si>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</si>
  <si>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</si>
  <si>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</si>
  <si>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</si>
  <si>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</si>
  <si>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</si>
  <si>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</si>
  <si>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</si>
  <si>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</si>
  <si>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</si>
  <si>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</si>
  <si>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</si>
  <si>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</si>
  <si>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</si>
  <si>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</si>
  <si>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</si>
  <si>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</si>
  <si>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</si>
  <si>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</si>
  <si>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</si>
  <si>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</si>
  <si>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</si>
  <si>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</si>
  <si>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</si>
  <si>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</si>
  <si>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</si>
  <si>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</si>
  <si>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</si>
  <si>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</si>
  <si>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</si>
  <si>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</si>
  <si>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</si>
  <si>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</si>
  <si>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</si>
  <si>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</si>
  <si>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</si>
  <si>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</si>
  <si>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</si>
  <si>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</si>
  <si>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</si>
  <si>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</si>
  <si>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</si>
  <si>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</si>
  <si>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</si>
  <si>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</si>
  <si>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</si>
  <si>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</si>
  <si>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</si>
  <si>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</si>
  <si>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</si>
  <si>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</si>
  <si>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</si>
  <si>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</si>
  <si>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</si>
  <si>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</si>
  <si>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</si>
  <si>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</si>
  <si>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</si>
  <si>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</si>
  <si>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</si>
  <si>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</si>
  <si>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</si>
  <si>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</si>
  <si>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</si>
  <si>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</si>
  <si>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</si>
  <si>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</si>
  <si>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</si>
  <si>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</si>
  <si>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</si>
  <si>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</si>
  <si>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</si>
  <si>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</si>
  <si>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</si>
  <si>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</si>
  <si>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</si>
  <si>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</si>
  <si>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</si>
  <si>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</si>
  <si>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</si>
  <si>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</si>
  <si>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</si>
  <si>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</si>
  <si>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</si>
  <si>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</si>
  <si>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</si>
  <si>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</si>
  <si>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</si>
  <si>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</si>
  <si>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</si>
  <si>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</si>
  <si>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</si>
  <si>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</si>
  <si>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</si>
  <si>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</si>
  <si>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</si>
  <si>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</si>
  <si>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</si>
  <si>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</si>
  <si>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</si>
  <si>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</si>
  <si>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</si>
  <si>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</si>
  <si>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</si>
  <si>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</si>
  <si>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</si>
  <si>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</si>
  <si>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</si>
  <si>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</si>
  <si>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</si>
  <si>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</si>
  <si>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</si>
  <si>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</si>
  <si>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</si>
  <si>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</si>
  <si>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</si>
  <si>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</si>
  <si>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</si>
  <si>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</si>
  <si>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</si>
  <si>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</si>
  <si>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</si>
  <si>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</si>
  <si>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</si>
  <si>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</si>
  <si>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</si>
  <si>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</si>
  <si>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</si>
  <si>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</si>
  <si>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</si>
  <si>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</si>
  <si>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</si>
  <si>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</si>
  <si>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</si>
  <si>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</si>
  <si>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</si>
  <si>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</si>
  <si>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</si>
  <si>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</si>
  <si>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</si>
  <si>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</si>
  <si>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</si>
  <si>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</si>
  <si>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</si>
  <si>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</si>
  <si>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</si>
  <si>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</si>
  <si>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</si>
  <si>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</si>
  <si>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</si>
  <si>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</si>
  <si>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</si>
  <si>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</si>
  <si>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</si>
  <si>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</si>
  <si>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</si>
  <si>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</si>
  <si>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</si>
  <si>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</si>
  <si>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</si>
  <si>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</si>
  <si>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</si>
  <si>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</si>
  <si>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</si>
  <si>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</si>
  <si>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</si>
  <si>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</si>
  <si>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</si>
  <si>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</si>
  <si>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</si>
  <si>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</si>
  <si>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</si>
  <si>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</si>
  <si>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</si>
  <si>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</si>
  <si>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</si>
  <si>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</si>
  <si>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</si>
  <si>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</si>
  <si>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</si>
  <si>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</si>
  <si>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</si>
  <si>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</si>
  <si>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</si>
  <si>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</si>
  <si>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</si>
  <si>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</si>
  <si>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</si>
  <si>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</si>
  <si>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</si>
  <si>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 xml:space="preserve">PLAN ESTRATEGICO 2021 A 2035 </t>
  </si>
  <si>
    <t>RESOLUCION 040 DEL 31 DE DICIEMBRE DEL 2014</t>
  </si>
  <si>
    <t xml:space="preserve">ACTAS DE REDICION DE CUENTAS CONCEJO MUNICIPAL Y JUNTA DIRECTIVA </t>
  </si>
  <si>
    <t xml:space="preserve">RECIBIDO DE LOS INFORMES SOLICITADOS </t>
  </si>
  <si>
    <t>ACTAS DE REUNIONES DE COMITÉ GERENCIAL  DONDE ES EXPONEN LAS DIFEFERENTES CAMBIO OBSERVADOS E IVEDENCIADO EN LA ERAT</t>
  </si>
  <si>
    <t>ACTAS DE REUNIONES DE COMITÉ GERENCIAL  DONDE ES EXPONEN LAS DIFEFERENTES CAMBIO OBSERVADOS Y EVEDENCIADO EN LA ERAT</t>
  </si>
  <si>
    <t>SE REALIZA EL INFORME DE CON LA EVIDENCIA SEGUN  PLAN ANTICORRUPCION 2022 DE LA ERAT</t>
  </si>
  <si>
    <t xml:space="preserve">CADA VEZ QUE SE CONVOCA A COMITÉ GERENCIAL, SE EVIDENCIA CON ACTAS </t>
  </si>
  <si>
    <t xml:space="preserve">ESE PROCEDIMIENTO SE ESTA AJUSTANDO GENERANDO AUTONOMIA EN CADA LIDER DE AREA </t>
  </si>
  <si>
    <t xml:space="preserve">SE ACTUA SEGÚN DIRECCIONAMIENTO Y OBSERVACION DEL ORGANO DE CONTROL </t>
  </si>
  <si>
    <t>PLAN ANTICORRUCCION VIGENCIA 2022</t>
  </si>
  <si>
    <t xml:space="preserve">A TRAVES DE REUNION Y CON ACTAS DE LAS  MISMAS SE VAN REALIZANDO LOS RESPEXCTIVOS AJUSTRES </t>
  </si>
  <si>
    <t xml:space="preserve">A TRAVES DE INFORMES Y EL CRONOGRAMA DE ACTIVIDADES DEL CARGO </t>
  </si>
  <si>
    <t>PLATAFORMAS DE LAS DISTINTAS ENTIDADES O CORREOS ELECTRONICOS, DEPENDIENDO DE COMO REQUIERAN EL ENVIO DE LA INFORM,ACION</t>
  </si>
  <si>
    <t>LA INFORMACION ES DISEÑADA Y SE ENVIA A PUBLICARLA LO CUAL ESTA EN CABEZA DE PUBLICIDAD,SISTEMAS</t>
  </si>
  <si>
    <t>CRONOGRAMA DE ACTIVIDADES A DESARROLLAS (PLAN DE ACCION Y PLAN DE AUDITORIA)</t>
  </si>
  <si>
    <t>PLAN ANTICORRUCCION VIGENCIA 2022,SE PUBLICO EN LA PAGNIA WEB DE LA ERAT</t>
  </si>
  <si>
    <t>DIRECTIVA DE GERENCIA Nª 193 DEL 14 DE JUNIO DE 2022</t>
  </si>
  <si>
    <t>DIRECTIVA DE GERENCIA Nª 100  del 3 de abril de 2018 comité institucional de gestion y desempeño directiva de gerencia 101 del 3 de abril del 2018</t>
  </si>
  <si>
    <t>PLAN ESTRATEGICO DE TECNOLOGIAS Y LAS COMUNICACIONES</t>
  </si>
  <si>
    <t xml:space="preserve">COMITÉ MUNICIPAL DE AUDITORIA </t>
  </si>
  <si>
    <t>CADA CITACION QUE SE REALICE CITACION POR PARTE DEL COMITÉ MUNICIPAL LA EMPRESA ERAT SIEMPRE PARTICIPA Y LA EVIDENCIA SE ENCUENTRA EN LAS ACTASX DE PARTICIPACION</t>
  </si>
  <si>
    <t xml:space="preserve">SI, PAGINA WEB DE LA ERAT, CARTELERA INSTITUCIONAL, CORREO ELECTRONICO Y LINEA TELEFONICA  </t>
  </si>
  <si>
    <t>PLAN ESTRATEGICO DE TECNOLOGIAS Y LAS COMUNICACIONES (PETIC)</t>
  </si>
  <si>
    <t>A TRAVES DE OFICIOS DIRIGIDOS A LA GERENCIA Y A LAS DIFERENTES DIRECCIONES BASADAS EN EL MANUEL DE FUNCIONES Y EL PLAN ESTRATEGICO SE HACEN LAS RESPECTIVAS RECOMENDACIONES PARA QUE SE TOMEN LAS DISTINTAS MEDIDAS CORRECTIVAS</t>
  </si>
  <si>
    <t xml:space="preserve"> Atraves comité institucional de gestion y desempeño directiva de gerencia 101 del 3 de abril del 2018</t>
  </si>
  <si>
    <t xml:space="preserve">atraves del plan de auditorias, en donde puede llegar a detectar riesgos los cuales se informan para se realicen las respectivas correcciones y re direccionamaiento de los mismos </t>
  </si>
  <si>
    <t>DOCUMENTOS COMO YA DISEÑADOS E IMPLEMENTADOS COMO: codigo deetica,codigo de integridad,plan estrategico,plan anticorrpcion,manual de contratacion</t>
  </si>
  <si>
    <t>atraves del plan de auditorias las cuales llevan a compromisos con fecha de cumplimiento.</t>
  </si>
  <si>
    <t>SI SE HAN EVIDECIADO Y ESTA EN PROCESO DE MEJORA ATRAVES DE ACTIVIDADES ENFOCADAS EN MEJORA CONTINUIA</t>
  </si>
  <si>
    <t xml:space="preserve">SE HACE EL RESPECTIVO SEGUIMIENTO A TRAVES DE REUNIONES CON LAS PARTES INTEREZADAS Y SE EVIDENCIAN CON ACTAS </t>
  </si>
  <si>
    <t>dependiendo de las acciones requeridas para el diseño se coloco el tema de discusión  a traves de comité de gestion y desempeño en donde se toman las medidas requeridas y se diseña la mejor opcion para la ejecucion</t>
  </si>
  <si>
    <t xml:space="preserve">luego qu el comité de gestion y desempeño tome la respectiva decision de diseño, se aplicara a traves de socializacion a cada unos de los colaboradpores de la emporesa </t>
  </si>
  <si>
    <t>se gestionan colocando cada problema en comité para gegerar mejora continua</t>
  </si>
  <si>
    <t xml:space="preserve">En este nuevo liderazgo gerencial que tiene la empresa (ERAT) cada uno de los procesos y sus procedimientos se estan integrando como un sistema fuerte si fisuras donde todas las desiciones todas nuestras fortalezas y debilidadeds seàn expuestas en comité buscando solucion o menjoras, para esta nueva gerencia la menora continua es eje fundamental del desarrollo de todos y cada unos de nuestros clientes ya sean internos o externos </t>
  </si>
  <si>
    <t xml:space="preserve">todos y cada unos de los procesos y procedimientos que articulan el funcionamiento de la empresa estan direccionados y encaminados en la mejora continua donde el engranaje empresarial sea uno solo y la union de todas las areas tanto la gerencia , la direccion administrativa, la direccion comercial y la direccion operativa , por lo tanto el sistema cada dia  se  fortalece , gracias al control qe se realiza , la comprencion , el apoyo  y ejecucuin de cada unas de las areas </t>
  </si>
  <si>
    <t xml:space="preserve">la empresa cuenta con las tres lineas de defenza en camindas y sincronizadas , las cuales son fundamentales para la toma de decisiones , teniendo en cuenta lo que se evidencie y documente en las auditorias (plan de auditorias)  basados en la gestion de control, mediciion de control interno,control financiero es decir basados en las tres lineas de defensa </t>
  </si>
  <si>
    <t>ESTAS CAPACITACIONES LAS REALIZA LA EMPRESA O A TRAVES DEL SENA EN LOS DIFERENTES PROGRAMAS QUE ELLOS OFRECEN , BOMBEROS ENTRE OTROS</t>
  </si>
  <si>
    <t xml:space="preserve">NOTIFICACIONES ESCRITAS Y EXAMENES DE EGRESO </t>
  </si>
  <si>
    <t xml:space="preserve">A TRAVES DEL PLAN DE AUDITORIAS SED HACE LA MITIGACION DE RIESGO EN TODAS LAS AREAS DE LA EMPRESA </t>
  </si>
  <si>
    <t xml:space="preserve">PLAN DE AUDITORIAS, PLAN ATICORRUCCION </t>
  </si>
  <si>
    <t xml:space="preserve">POLITICAS DE PRIVACIDAD Y PROTECCIONN DE DATOS </t>
  </si>
  <si>
    <t xml:space="preserve">ELABORACION DE TODOS Y CADA UNOS DE LOS INFORMES QUE SE REQUEIREN PARA LA OPERACIÓN </t>
  </si>
  <si>
    <t>DEBILIDADES DEL AMBIENTE DE CONTROL ES LA ROTACION CONSTANTE DE PERSONAL POR ELLO SE DDEBE ESTAR CAPACITANDO CONSTAMTENTEMENTE DANDO PRIORIDAD AL CONJUNTO DE NORMAS, PROCESOS Y ESTRUCTURAS QUE PROPORCIONA LA BASE DEL SISTEMA DE CONTROL INTERNO , FORTALEZA APOYO DE TODAS LAS AREAS DE LA EMPRESA SIEMPRE ENFATIZANDO EN  LA MEJORA CONTINUA .</t>
  </si>
  <si>
    <t xml:space="preserve">UNA D ELAS FORTALEZAS EN LA EVALUCION XDE RIESGOS ES QUE SE TIENE ORGANIZADO POR LA OFICINA DE CONTROL INTERNO EL PLAN DE AUDITORIAS LAS CUALES SE CUMPLEN A CABALIDAD Y CADA OBSERVACION O RIESGO QUE SE DETECTE SE LLEVA AL COMITÉ DE GESTION Y DESEMPEÑO EN DONDE SE REALIZA LAS RESPECTIVAS CORRECCIONES Y SE SOCIALIZA A TODA LA EMPRESA, COMO DEBILIDAAD SE PUEDE OBSERVAR  QUE LOS COLABOADORES ESTAN SALIENDO SIN HACER SUS RECPECTIVAS ACTAS DE ENTREGAS AUNQUE YA SE ESTAN HACIENDO LAS RESPECTIVAS CORRECCIONES  </t>
  </si>
  <si>
    <t>A traves de Prevenir la ocurrencia de riesgos innecesarios,
Minimizar el impacto de las consecuencias de los mismos y 
Restablecer el sistema en el menor tiempo posible la empresa se ha venido fortaleciendo en cada uno de estos aspectos necesarios para la operacion y la mejora continua a pesar que adversidades siempore van a existir la empresa esta organizada de tal manera para dar respuesta y solucion a cada una de ellas.</t>
  </si>
  <si>
    <t xml:space="preserve">las fortalezas mas releventes y dispuestas a  la mejora una clara identificación de los objetivos, las estrategias, los planes, los programas, los proyectos y la gestión de operaciones hacia los cuales se enfoca el accionar de la entidad, facilita la ejecución de sus operaciones internas,  dándole al usuario una participación directa en el logro de los objetivos. Es un factor determinante en tanto para su ejecución, se involucre a todos los niveles y procesos  de la organización, algunas de las debolidades que que se han venido convirtiendo en fortalezas es que muchas de los protocolos, directivas , cartillas entre otras docuemtaciones que se realizaban no se estaban socializando tanto a nuestro clientes externo como interno </t>
  </si>
  <si>
    <t>en las actividades de monitoreo como formtaleza es buscar establecer este tipo de actividades o de evaluaciones periódicas (autoevaluación, auditorías), y su propósito es valorar La efectividad del control interno de la entidad pública;  la eficiencia, eficacia y efectividad de los procesos;  el nivel de ejecución de los planes, programas y proyectos;  los resultados de la gestión, con el propósito de detectar desviaciones, establecer tendencias, y generar recomendaciones para orientar las acciones de mejoramiento apoyados en el plan de auditorias las debilidades que podemos llegar a encontrar son fundamentales para la mejora de cada uno de nuestro procesos y procedimiemtos</t>
  </si>
  <si>
    <t>Empresa Regional Aguas del Tequendama S.A. E.S.P</t>
  </si>
  <si>
    <t>PRIMER SEMESTRE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</si>
</sst>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6"/>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8">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6" fillId="0" borderId="9" xfId="0" applyFont="1" applyFill="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4" xfId="0" applyFont="1" applyFill="1" applyBorder="1" applyAlignment="1" applyProtection="1">
      <alignment horizontal="center" vertical="center" wrapText="1"/>
      <protection locked="0"/>
    </xf>
    <xf numFmtId="0" fontId="36" fillId="0" borderId="80" xfId="0" applyFont="1" applyFill="1" applyBorder="1" applyAlignment="1" applyProtection="1">
      <alignment horizontal="left" vertical="center" wrapText="1"/>
      <protection locked="0"/>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center" vertical="top" wrapText="1"/>
      <protection locked="0"/>
    </xf>
    <xf numFmtId="49" fontId="58" fillId="4" borderId="84" xfId="0" applyNumberFormat="1" applyFont="1" applyFill="1" applyBorder="1" applyAlignment="1" applyProtection="1">
      <alignment horizontal="center" vertical="top" wrapText="1"/>
      <protection locked="0"/>
    </xf>
    <xf numFmtId="49" fontId="58" fillId="4" borderId="3" xfId="0" applyNumberFormat="1" applyFont="1" applyFill="1" applyBorder="1" applyAlignment="1" applyProtection="1">
      <alignment horizontal="center" vertical="top" wrapText="1"/>
      <protection locked="0"/>
    </xf>
    <xf numFmtId="49" fontId="0" fillId="4" borderId="3" xfId="0" applyNumberFormat="1" applyFill="1" applyBorder="1" applyAlignment="1" applyProtection="1">
      <alignment horizontal="center" vertical="top" wrapText="1"/>
      <protection locked="0"/>
    </xf>
    <xf numFmtId="49" fontId="0" fillId="4" borderId="85" xfId="0" applyNumberFormat="1" applyFill="1" applyBorder="1" applyAlignment="1" applyProtection="1">
      <alignment horizontal="center" vertical="top" wrapText="1"/>
      <protection locked="0"/>
    </xf>
    <xf numFmtId="49" fontId="58" fillId="4" borderId="4" xfId="0" applyNumberFormat="1" applyFont="1" applyFill="1" applyBorder="1" applyAlignment="1" applyProtection="1">
      <alignment horizontal="center" vertical="top" wrapText="1"/>
      <protection locked="0"/>
    </xf>
    <xf numFmtId="49" fontId="0" fillId="4" borderId="4" xfId="0" applyNumberFormat="1" applyFill="1" applyBorder="1" applyAlignment="1" applyProtection="1">
      <alignment horizontal="center" vertical="top" wrapText="1"/>
      <protection locked="0"/>
    </xf>
    <xf numFmtId="49" fontId="0" fillId="4" borderId="86" xfId="0" applyNumberFormat="1" applyFill="1" applyBorder="1" applyAlignment="1" applyProtection="1">
      <alignment horizontal="center" vertical="top" wrapText="1"/>
      <protection locked="0"/>
    </xf>
    <xf numFmtId="0" fontId="58" fillId="0" borderId="2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58" fillId="0" borderId="25" xfId="0" applyFont="1" applyBorder="1" applyAlignment="1" applyProtection="1">
      <alignment horizontal="center" vertical="center" wrapText="1"/>
      <protection locked="0"/>
    </xf>
    <xf numFmtId="0" fontId="52" fillId="12" borderId="0" xfId="0" applyFont="1" applyFill="1" applyBorder="1" applyAlignment="1">
      <alignment horizontal="center" vertical="center" wrapText="1"/>
    </xf>
    <xf numFmtId="0" fontId="57" fillId="0" borderId="24" xfId="0" applyFont="1" applyFill="1" applyBorder="1" applyAlignment="1" applyProtection="1">
      <alignment horizontal="center" vertical="center" wrapText="1"/>
      <protection locked="0"/>
    </xf>
    <xf numFmtId="0" fontId="57" fillId="0" borderId="1" xfId="0" applyFont="1" applyFill="1" applyBorder="1" applyAlignment="1" applyProtection="1">
      <alignment horizontal="center" vertical="center" wrapText="1"/>
      <protection locked="0"/>
    </xf>
    <xf numFmtId="0" fontId="57" fillId="0" borderId="25"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7" t="s">
        <v>0</v>
      </c>
      <c r="C2" s="168"/>
      <c r="D2" s="168"/>
      <c r="E2" s="168"/>
      <c r="F2" s="168"/>
      <c r="G2" s="168"/>
      <c r="H2" s="169"/>
    </row>
    <row r="3" spans="2:8" ht="65.25" customHeight="1" x14ac:dyDescent="0.2">
      <c r="B3" s="170" t="s">
        <v>1</v>
      </c>
      <c r="C3" s="171"/>
      <c r="D3" s="171"/>
      <c r="E3" s="171"/>
      <c r="F3" s="171"/>
      <c r="G3" s="171"/>
      <c r="H3" s="172"/>
    </row>
    <row r="4" spans="2:8" ht="82.5" customHeight="1" x14ac:dyDescent="0.2">
      <c r="B4" s="170"/>
      <c r="C4" s="171"/>
      <c r="D4" s="171"/>
      <c r="E4" s="171"/>
      <c r="F4" s="171"/>
      <c r="G4" s="171"/>
      <c r="H4" s="172"/>
    </row>
    <row r="5" spans="2:8" ht="21.75" customHeight="1" x14ac:dyDescent="0.2">
      <c r="B5" s="173" t="s">
        <v>2</v>
      </c>
      <c r="C5" s="174"/>
      <c r="D5" s="174"/>
      <c r="E5" s="174"/>
      <c r="F5" s="174"/>
      <c r="G5" s="174"/>
      <c r="H5" s="175"/>
    </row>
    <row r="6" spans="2:8" ht="42" customHeight="1" x14ac:dyDescent="0.2">
      <c r="B6" s="176" t="s">
        <v>3</v>
      </c>
      <c r="C6" s="177"/>
      <c r="D6" s="177"/>
      <c r="E6" s="177"/>
      <c r="F6" s="177"/>
      <c r="G6" s="177"/>
      <c r="H6" s="178"/>
    </row>
    <row r="7" spans="2:8" ht="14.25" customHeight="1" x14ac:dyDescent="0.2">
      <c r="B7" s="176"/>
      <c r="C7" s="177"/>
      <c r="D7" s="177"/>
      <c r="E7" s="177"/>
      <c r="F7" s="177"/>
      <c r="G7" s="177"/>
      <c r="H7" s="178"/>
    </row>
    <row r="8" spans="2:8" ht="12.75" customHeight="1" thickBot="1" x14ac:dyDescent="0.25">
      <c r="B8" s="57"/>
      <c r="C8" s="51"/>
      <c r="D8" s="67"/>
      <c r="E8" s="68"/>
      <c r="F8" s="68"/>
      <c r="G8" s="65"/>
      <c r="H8" s="66"/>
    </row>
    <row r="9" spans="2:8" ht="21" customHeight="1" thickTop="1" x14ac:dyDescent="0.2">
      <c r="B9" s="57"/>
      <c r="C9" s="179" t="s">
        <v>4</v>
      </c>
      <c r="D9" s="180"/>
      <c r="E9" s="181" t="s">
        <v>5</v>
      </c>
      <c r="F9" s="182"/>
      <c r="G9" s="51"/>
      <c r="H9" s="59"/>
    </row>
    <row r="10" spans="2:8" ht="37.5" customHeight="1" x14ac:dyDescent="0.2">
      <c r="B10" s="57"/>
      <c r="C10" s="183" t="s">
        <v>6</v>
      </c>
      <c r="D10" s="184"/>
      <c r="E10" s="185" t="s">
        <v>7</v>
      </c>
      <c r="F10" s="186"/>
      <c r="G10" s="51"/>
      <c r="H10" s="59"/>
    </row>
    <row r="11" spans="2:8" ht="39.75" customHeight="1" x14ac:dyDescent="0.2">
      <c r="B11" s="57"/>
      <c r="C11" s="187" t="s">
        <v>8</v>
      </c>
      <c r="D11" s="188"/>
      <c r="E11" s="189" t="s">
        <v>9</v>
      </c>
      <c r="F11" s="190"/>
      <c r="G11" s="51"/>
      <c r="H11" s="59"/>
    </row>
    <row r="12" spans="2:8" ht="59.25" customHeight="1" x14ac:dyDescent="0.2">
      <c r="B12" s="57"/>
      <c r="C12" s="187" t="s">
        <v>10</v>
      </c>
      <c r="D12" s="188"/>
      <c r="E12" s="191" t="s">
        <v>11</v>
      </c>
      <c r="F12" s="192"/>
      <c r="G12" s="51"/>
      <c r="H12" s="59"/>
    </row>
    <row r="13" spans="2:8" ht="33.75" customHeight="1" x14ac:dyDescent="0.2">
      <c r="B13" s="57"/>
      <c r="C13" s="197" t="s">
        <v>12</v>
      </c>
      <c r="D13" s="198"/>
      <c r="E13" s="189" t="s">
        <v>13</v>
      </c>
      <c r="F13" s="190"/>
      <c r="G13" s="51"/>
      <c r="H13" s="59"/>
    </row>
    <row r="14" spans="2:8" ht="19.5" customHeight="1" x14ac:dyDescent="0.2">
      <c r="B14" s="57"/>
      <c r="C14" s="63"/>
      <c r="D14" s="63"/>
      <c r="E14" s="64"/>
      <c r="F14" s="64"/>
      <c r="G14" s="51"/>
      <c r="H14" s="59"/>
    </row>
    <row r="15" spans="2:8" ht="37.5" customHeight="1" thickBot="1" x14ac:dyDescent="0.25">
      <c r="B15" s="193" t="s">
        <v>14</v>
      </c>
      <c r="C15" s="194"/>
      <c r="D15" s="194"/>
      <c r="E15" s="194"/>
      <c r="F15" s="194"/>
      <c r="G15" s="194"/>
      <c r="H15" s="195"/>
    </row>
    <row r="16" spans="2:8" ht="27.75" customHeight="1" thickBot="1" x14ac:dyDescent="0.25">
      <c r="B16" s="57"/>
      <c r="C16" s="199" t="s">
        <v>15</v>
      </c>
      <c r="D16" s="200"/>
      <c r="E16" s="200" t="s">
        <v>16</v>
      </c>
      <c r="F16" s="211"/>
      <c r="G16" s="51"/>
      <c r="H16" s="59"/>
    </row>
    <row r="17" spans="2:8" ht="27.75" customHeight="1" x14ac:dyDescent="0.2">
      <c r="B17" s="57"/>
      <c r="C17" s="212" t="s">
        <v>17</v>
      </c>
      <c r="D17" s="213"/>
      <c r="E17" s="214" t="s">
        <v>18</v>
      </c>
      <c r="F17" s="215"/>
      <c r="G17" s="101"/>
      <c r="H17" s="59"/>
    </row>
    <row r="18" spans="2:8" ht="41.25" customHeight="1" x14ac:dyDescent="0.2">
      <c r="B18" s="57"/>
      <c r="C18" s="201" t="s">
        <v>19</v>
      </c>
      <c r="D18" s="202"/>
      <c r="E18" s="203" t="s">
        <v>20</v>
      </c>
      <c r="F18" s="204"/>
      <c r="G18" s="102"/>
      <c r="H18" s="59"/>
    </row>
    <row r="19" spans="2:8" ht="37.5" customHeight="1" thickBot="1" x14ac:dyDescent="0.25">
      <c r="B19" s="57"/>
      <c r="C19" s="205" t="s">
        <v>21</v>
      </c>
      <c r="D19" s="206"/>
      <c r="E19" s="207" t="s">
        <v>22</v>
      </c>
      <c r="F19" s="208"/>
      <c r="G19" s="102"/>
      <c r="H19" s="59"/>
    </row>
    <row r="20" spans="2:8" ht="11.25" customHeight="1" x14ac:dyDescent="0.2">
      <c r="B20" s="52"/>
      <c r="C20" s="53"/>
      <c r="D20" s="53"/>
      <c r="E20" s="53"/>
      <c r="F20" s="53"/>
      <c r="G20" s="53"/>
      <c r="H20" s="54"/>
    </row>
    <row r="21" spans="2:8" ht="14.25" customHeight="1" x14ac:dyDescent="0.2">
      <c r="B21" s="55"/>
      <c r="C21" s="209"/>
      <c r="D21" s="209"/>
      <c r="E21" s="210"/>
      <c r="F21" s="210"/>
      <c r="G21" s="210"/>
      <c r="H21" s="56"/>
    </row>
    <row r="22" spans="2:8" ht="36" customHeight="1" x14ac:dyDescent="0.2">
      <c r="B22" s="193" t="s">
        <v>23</v>
      </c>
      <c r="C22" s="194"/>
      <c r="D22" s="194"/>
      <c r="E22" s="194"/>
      <c r="F22" s="194"/>
      <c r="G22" s="194"/>
      <c r="H22" s="195"/>
    </row>
    <row r="23" spans="2:8" ht="13.5" x14ac:dyDescent="0.2">
      <c r="B23" s="57"/>
      <c r="C23" s="58"/>
      <c r="D23" s="58"/>
      <c r="E23" s="196"/>
      <c r="F23" s="196"/>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D13" zoomScale="80" zoomScaleNormal="80" workbookViewId="0">
      <selection activeCell="B14" sqref="B14:I14"/>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7" t="s">
        <v>24</v>
      </c>
      <c r="C14" s="247"/>
      <c r="D14" s="247"/>
      <c r="E14" s="247"/>
      <c r="F14" s="247"/>
      <c r="G14" s="247"/>
      <c r="H14" s="247"/>
      <c r="I14" s="247"/>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58" t="s">
        <v>31</v>
      </c>
      <c r="C16" s="222" t="s">
        <v>32</v>
      </c>
      <c r="D16" s="255" t="s">
        <v>33</v>
      </c>
      <c r="E16" s="81" t="s">
        <v>34</v>
      </c>
      <c r="F16" s="82" t="s">
        <v>35</v>
      </c>
      <c r="G16" s="118" t="s">
        <v>39</v>
      </c>
      <c r="H16" s="119" t="s">
        <v>209</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3" x14ac:dyDescent="0.25">
      <c r="A17" s="103" t="str">
        <f t="shared" ref="A17:A27" si="1">1&amp;E17</f>
        <v>1b</v>
      </c>
      <c r="B17" s="259"/>
      <c r="C17" s="223"/>
      <c r="D17" s="256"/>
      <c r="E17" s="83" t="s">
        <v>37</v>
      </c>
      <c r="F17" s="84" t="s">
        <v>38</v>
      </c>
      <c r="G17" s="163" t="s">
        <v>39</v>
      </c>
      <c r="H17" s="164" t="s">
        <v>208</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59"/>
      <c r="C18" s="223"/>
      <c r="D18" s="256"/>
      <c r="E18" s="83" t="s">
        <v>40</v>
      </c>
      <c r="F18" s="85" t="s">
        <v>41</v>
      </c>
      <c r="G18" s="114" t="s">
        <v>39</v>
      </c>
      <c r="H18" s="115" t="s">
        <v>191</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59"/>
      <c r="C19" s="223"/>
      <c r="D19" s="256"/>
      <c r="E19" s="83" t="s">
        <v>42</v>
      </c>
      <c r="F19" s="85" t="s">
        <v>43</v>
      </c>
      <c r="G19" s="114" t="s">
        <v>39</v>
      </c>
      <c r="H19" s="115" t="s">
        <v>192</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59"/>
      <c r="C20" s="223"/>
      <c r="D20" s="256"/>
      <c r="E20" s="83" t="s">
        <v>44</v>
      </c>
      <c r="F20" s="85" t="s">
        <v>45</v>
      </c>
      <c r="G20" s="114" t="s">
        <v>39</v>
      </c>
      <c r="H20" s="115" t="s">
        <v>192</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59"/>
      <c r="C21" s="223"/>
      <c r="D21" s="256"/>
      <c r="E21" s="83" t="s">
        <v>46</v>
      </c>
      <c r="F21" s="85" t="s">
        <v>47</v>
      </c>
      <c r="G21" s="114" t="s">
        <v>39</v>
      </c>
      <c r="H21" s="162" t="s">
        <v>203</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59"/>
      <c r="C22" s="223"/>
      <c r="D22" s="256"/>
      <c r="E22" s="83" t="s">
        <v>48</v>
      </c>
      <c r="F22" s="85" t="s">
        <v>49</v>
      </c>
      <c r="G22" s="114" t="s">
        <v>39</v>
      </c>
      <c r="H22" s="115" t="s">
        <v>192</v>
      </c>
      <c r="I22" s="108" t="str">
        <f t="shared" si="2"/>
        <v>Mantenimiento del control</v>
      </c>
      <c r="J22" s="107">
        <f t="shared" si="0"/>
        <v>20</v>
      </c>
      <c r="K22" s="105">
        <v>0.12345678910000001</v>
      </c>
      <c r="L22" s="105">
        <f t="shared" si="3"/>
        <v>20.1234567891</v>
      </c>
    </row>
    <row r="23" spans="1:32" s="49" customFormat="1" ht="87.75" customHeight="1" x14ac:dyDescent="0.25">
      <c r="A23" s="103" t="str">
        <f t="shared" si="1"/>
        <v>1h</v>
      </c>
      <c r="B23" s="259"/>
      <c r="C23" s="223"/>
      <c r="D23" s="256"/>
      <c r="E23" s="83" t="s">
        <v>50</v>
      </c>
      <c r="F23" s="85" t="s">
        <v>51</v>
      </c>
      <c r="G23" s="114" t="s">
        <v>39</v>
      </c>
      <c r="H23" s="162" t="s">
        <v>228</v>
      </c>
      <c r="I23" s="108" t="str">
        <f t="shared" si="2"/>
        <v>Mantenimiento del control</v>
      </c>
      <c r="J23" s="107">
        <f t="shared" si="0"/>
        <v>20</v>
      </c>
      <c r="K23" s="105">
        <v>0.12345678911999999</v>
      </c>
      <c r="L23" s="105">
        <f t="shared" si="3"/>
        <v>20.123456789119999</v>
      </c>
    </row>
    <row r="24" spans="1:32" s="49" customFormat="1" ht="57.75" customHeight="1" x14ac:dyDescent="0.25">
      <c r="A24" s="103" t="str">
        <f t="shared" si="1"/>
        <v>1i</v>
      </c>
      <c r="B24" s="259"/>
      <c r="C24" s="223"/>
      <c r="D24" s="256"/>
      <c r="E24" s="83" t="s">
        <v>52</v>
      </c>
      <c r="F24" s="85" t="s">
        <v>53</v>
      </c>
      <c r="G24" s="114" t="s">
        <v>36</v>
      </c>
      <c r="H24" s="162"/>
      <c r="I24" s="108" t="str">
        <f t="shared" si="2"/>
        <v>Deficiencia de control</v>
      </c>
      <c r="J24" s="107">
        <f t="shared" si="0"/>
        <v>0</v>
      </c>
      <c r="K24" s="105">
        <v>0.123456789123</v>
      </c>
      <c r="L24" s="105">
        <f t="shared" si="3"/>
        <v>0.123456789123</v>
      </c>
    </row>
    <row r="25" spans="1:32" s="49" customFormat="1" ht="52.5" customHeight="1" x14ac:dyDescent="0.25">
      <c r="A25" s="103" t="str">
        <f t="shared" si="1"/>
        <v>1j</v>
      </c>
      <c r="B25" s="259"/>
      <c r="C25" s="223"/>
      <c r="D25" s="256"/>
      <c r="E25" s="83" t="s">
        <v>54</v>
      </c>
      <c r="F25" s="85" t="s">
        <v>55</v>
      </c>
      <c r="G25" s="114" t="s">
        <v>39</v>
      </c>
      <c r="H25" s="162" t="s">
        <v>229</v>
      </c>
      <c r="I25" s="108" t="str">
        <f t="shared" si="2"/>
        <v>Mantenimiento del control</v>
      </c>
      <c r="J25" s="107">
        <f t="shared" si="0"/>
        <v>20</v>
      </c>
      <c r="K25" s="105">
        <v>0.1234567891234</v>
      </c>
      <c r="L25" s="105">
        <f t="shared" si="3"/>
        <v>20.123456789123399</v>
      </c>
    </row>
    <row r="26" spans="1:32" s="49" customFormat="1" ht="42" customHeight="1" x14ac:dyDescent="0.25">
      <c r="A26" s="103" t="str">
        <f t="shared" si="1"/>
        <v>1k</v>
      </c>
      <c r="B26" s="259"/>
      <c r="C26" s="223"/>
      <c r="D26" s="256"/>
      <c r="E26" s="83" t="s">
        <v>56</v>
      </c>
      <c r="F26" s="85" t="s">
        <v>57</v>
      </c>
      <c r="G26" s="114" t="s">
        <v>39</v>
      </c>
      <c r="H26" s="115" t="s">
        <v>193</v>
      </c>
      <c r="I26" s="108" t="str">
        <f t="shared" si="2"/>
        <v>Mantenimiento del control</v>
      </c>
      <c r="J26" s="107">
        <f t="shared" si="0"/>
        <v>20</v>
      </c>
      <c r="K26" s="105">
        <v>0.12345678912345</v>
      </c>
      <c r="L26" s="105">
        <f t="shared" si="3"/>
        <v>20.123456789123448</v>
      </c>
    </row>
    <row r="27" spans="1:32" s="49" customFormat="1" ht="32.25" thickBot="1" x14ac:dyDescent="0.3">
      <c r="A27" s="103" t="str">
        <f t="shared" si="1"/>
        <v>1l</v>
      </c>
      <c r="B27" s="260"/>
      <c r="C27" s="224"/>
      <c r="D27" s="257"/>
      <c r="E27" s="86" t="s">
        <v>58</v>
      </c>
      <c r="F27" s="87" t="s">
        <v>59</v>
      </c>
      <c r="G27" s="116" t="s">
        <v>39</v>
      </c>
      <c r="H27" s="117" t="s">
        <v>194</v>
      </c>
      <c r="I27" s="109" t="str">
        <f t="shared" si="2"/>
        <v>Mantenimiento del control</v>
      </c>
      <c r="J27" s="107">
        <f t="shared" si="0"/>
        <v>20</v>
      </c>
      <c r="K27" s="105">
        <v>0.12345678912345601</v>
      </c>
      <c r="L27" s="105">
        <f t="shared" si="3"/>
        <v>20.123456789123455</v>
      </c>
    </row>
    <row r="28" spans="1:32" s="49" customFormat="1" ht="66" x14ac:dyDescent="0.25">
      <c r="A28" s="103" t="str">
        <f>2&amp;E28</f>
        <v>2a</v>
      </c>
      <c r="B28" s="261" t="s">
        <v>60</v>
      </c>
      <c r="C28" s="225" t="s">
        <v>61</v>
      </c>
      <c r="D28" s="264" t="s">
        <v>62</v>
      </c>
      <c r="E28" s="81" t="s">
        <v>34</v>
      </c>
      <c r="F28" s="82" t="s">
        <v>63</v>
      </c>
      <c r="G28" s="112" t="s">
        <v>39</v>
      </c>
      <c r="H28" s="113" t="s">
        <v>195</v>
      </c>
      <c r="I28" s="104" t="str">
        <f t="shared" si="2"/>
        <v>Mantenimiento del control</v>
      </c>
      <c r="J28" s="105">
        <f>+IF(G28="Si",40,IF(G28="En proceso",30,20))</f>
        <v>40</v>
      </c>
      <c r="K28" s="105">
        <v>0.23</v>
      </c>
      <c r="L28" s="105">
        <f t="shared" si="3"/>
        <v>40.229999999999997</v>
      </c>
    </row>
    <row r="29" spans="1:32" s="49" customFormat="1" ht="66" x14ac:dyDescent="0.25">
      <c r="A29" s="103" t="str">
        <f t="shared" ref="A29:A31" si="4">2&amp;E29</f>
        <v>2b</v>
      </c>
      <c r="B29" s="262"/>
      <c r="C29" s="226"/>
      <c r="D29" s="240"/>
      <c r="E29" s="83" t="s">
        <v>37</v>
      </c>
      <c r="F29" s="85" t="s">
        <v>64</v>
      </c>
      <c r="G29" s="114" t="s">
        <v>39</v>
      </c>
      <c r="H29" s="115" t="s">
        <v>196</v>
      </c>
      <c r="I29" s="108" t="str">
        <f t="shared" si="2"/>
        <v>Mantenimiento del control</v>
      </c>
      <c r="J29" s="105">
        <f>+IF(G29="Si",40,IF(G29="En proceso",30,20))</f>
        <v>40</v>
      </c>
      <c r="K29" s="105">
        <v>0.23400000000000001</v>
      </c>
      <c r="L29" s="105">
        <f t="shared" si="3"/>
        <v>40.234000000000002</v>
      </c>
    </row>
    <row r="30" spans="1:32" s="49" customFormat="1" ht="49.5" x14ac:dyDescent="0.25">
      <c r="A30" s="103" t="str">
        <f t="shared" si="4"/>
        <v>2c</v>
      </c>
      <c r="B30" s="262"/>
      <c r="C30" s="226"/>
      <c r="D30" s="240"/>
      <c r="E30" s="83" t="s">
        <v>40</v>
      </c>
      <c r="F30" s="85" t="s">
        <v>65</v>
      </c>
      <c r="G30" s="114" t="s">
        <v>39</v>
      </c>
      <c r="H30" s="115" t="s">
        <v>197</v>
      </c>
      <c r="I30" s="108" t="str">
        <f t="shared" si="2"/>
        <v>Mantenimiento del control</v>
      </c>
      <c r="J30" s="105">
        <f>+IF(G30="Si",40,IF(G30="En proceso",30,20))</f>
        <v>40</v>
      </c>
      <c r="K30" s="105">
        <v>0.23449999999999999</v>
      </c>
      <c r="L30" s="105">
        <f t="shared" si="3"/>
        <v>40.234499999999997</v>
      </c>
    </row>
    <row r="31" spans="1:32" s="49" customFormat="1" ht="63.75" thickBot="1" x14ac:dyDescent="0.3">
      <c r="A31" s="103" t="str">
        <f t="shared" si="4"/>
        <v>2d</v>
      </c>
      <c r="B31" s="263"/>
      <c r="C31" s="227"/>
      <c r="D31" s="265"/>
      <c r="E31" s="86" t="s">
        <v>42</v>
      </c>
      <c r="F31" s="87" t="s">
        <v>66</v>
      </c>
      <c r="G31" s="165" t="s">
        <v>39</v>
      </c>
      <c r="H31" s="166" t="s">
        <v>210</v>
      </c>
      <c r="I31" s="109" t="str">
        <f t="shared" si="2"/>
        <v>Mantenimiento del control</v>
      </c>
      <c r="J31" s="105">
        <f>+IF(G31="Si",40,IF(G31="En proceso",30,20))</f>
        <v>40</v>
      </c>
      <c r="K31" s="105">
        <v>0.23455999999999999</v>
      </c>
      <c r="L31" s="105">
        <f t="shared" si="3"/>
        <v>40.234560000000002</v>
      </c>
    </row>
    <row r="32" spans="1:32" s="49" customFormat="1" ht="49.5" x14ac:dyDescent="0.25">
      <c r="A32" s="103" t="str">
        <f>3&amp;E32</f>
        <v>3a</v>
      </c>
      <c r="B32" s="237" t="s">
        <v>67</v>
      </c>
      <c r="C32" s="237" t="s">
        <v>61</v>
      </c>
      <c r="D32" s="238" t="s">
        <v>68</v>
      </c>
      <c r="E32" s="88" t="s">
        <v>34</v>
      </c>
      <c r="F32" s="85" t="s">
        <v>69</v>
      </c>
      <c r="G32" s="114" t="s">
        <v>39</v>
      </c>
      <c r="H32" s="115" t="s">
        <v>221</v>
      </c>
      <c r="I32" s="108" t="str">
        <f t="shared" si="2"/>
        <v>Mantenimiento del control</v>
      </c>
      <c r="J32" s="105">
        <f t="shared" ref="J32:J37" si="5">+IF(G32="Si",40,IF(G32="En proceso",30,20))</f>
        <v>40</v>
      </c>
      <c r="K32" s="110">
        <v>0.234567</v>
      </c>
      <c r="L32" s="105">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37"/>
      <c r="C33" s="237"/>
      <c r="D33" s="238"/>
      <c r="E33" s="88" t="s">
        <v>37</v>
      </c>
      <c r="F33" s="85" t="s">
        <v>70</v>
      </c>
      <c r="G33" s="114" t="s">
        <v>39</v>
      </c>
      <c r="H33" s="115" t="s">
        <v>198</v>
      </c>
      <c r="I33" s="108" t="str">
        <f t="shared" si="2"/>
        <v>Mantenimiento del control</v>
      </c>
      <c r="J33" s="105">
        <f t="shared" si="5"/>
        <v>40</v>
      </c>
      <c r="K33" s="110">
        <v>0.23456779999999999</v>
      </c>
      <c r="L33" s="105">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7"/>
      <c r="C34" s="237"/>
      <c r="D34" s="238"/>
      <c r="E34" s="88" t="s">
        <v>40</v>
      </c>
      <c r="F34" s="85" t="s">
        <v>71</v>
      </c>
      <c r="G34" s="114" t="s">
        <v>39</v>
      </c>
      <c r="H34" s="162" t="s">
        <v>220</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39" t="s">
        <v>72</v>
      </c>
      <c r="C35" s="226" t="s">
        <v>61</v>
      </c>
      <c r="D35" s="240" t="s">
        <v>73</v>
      </c>
      <c r="E35" s="81" t="s">
        <v>34</v>
      </c>
      <c r="F35" s="82" t="s">
        <v>74</v>
      </c>
      <c r="G35" s="112" t="s">
        <v>39</v>
      </c>
      <c r="H35" s="113" t="s">
        <v>202</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39"/>
      <c r="C36" s="226"/>
      <c r="D36" s="240"/>
      <c r="E36" s="83" t="s">
        <v>37</v>
      </c>
      <c r="F36" s="85" t="s">
        <v>75</v>
      </c>
      <c r="G36" s="114" t="s">
        <v>39</v>
      </c>
      <c r="H36" s="115" t="s">
        <v>199</v>
      </c>
      <c r="I36" s="108" t="str">
        <f t="shared" si="2"/>
        <v>Mantenimiento del control</v>
      </c>
      <c r="J36" s="105">
        <f t="shared" si="5"/>
        <v>40</v>
      </c>
      <c r="K36" s="110">
        <v>0.23456789122999999</v>
      </c>
      <c r="L36" s="105">
        <f t="shared" si="6"/>
        <v>40.23456789123</v>
      </c>
      <c r="M36" s="48"/>
      <c r="N36" s="48"/>
      <c r="O36" s="48"/>
      <c r="P36" s="48"/>
      <c r="Q36" s="48"/>
    </row>
    <row r="37" spans="1:32" s="49" customFormat="1" ht="49.5" customHeight="1" thickBot="1" x14ac:dyDescent="0.3">
      <c r="A37" s="103" t="str">
        <f t="shared" si="8"/>
        <v>4c</v>
      </c>
      <c r="B37" s="239"/>
      <c r="C37" s="226"/>
      <c r="D37" s="240"/>
      <c r="E37" s="83" t="s">
        <v>40</v>
      </c>
      <c r="F37" s="85" t="s">
        <v>77</v>
      </c>
      <c r="G37" s="114" t="s">
        <v>39</v>
      </c>
      <c r="H37" s="162" t="s">
        <v>200</v>
      </c>
      <c r="I37" s="108"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x14ac:dyDescent="0.25">
      <c r="A38" s="103" t="str">
        <f>5&amp;E38</f>
        <v>5a</v>
      </c>
      <c r="B38" s="241" t="s">
        <v>78</v>
      </c>
      <c r="C38" s="228" t="s">
        <v>79</v>
      </c>
      <c r="D38" s="244" t="s">
        <v>80</v>
      </c>
      <c r="E38" s="81" t="s">
        <v>34</v>
      </c>
      <c r="F38" s="89" t="s">
        <v>81</v>
      </c>
      <c r="G38" s="118" t="s">
        <v>39</v>
      </c>
      <c r="H38" s="119" t="s">
        <v>201</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42"/>
      <c r="C39" s="229"/>
      <c r="D39" s="245"/>
      <c r="E39" s="83" t="s">
        <v>37</v>
      </c>
      <c r="F39" s="85" t="s">
        <v>82</v>
      </c>
      <c r="G39" s="163" t="s">
        <v>39</v>
      </c>
      <c r="H39" s="162" t="s">
        <v>230</v>
      </c>
      <c r="I39" s="108" t="str">
        <f t="shared" si="2"/>
        <v>Mantenimiento del control</v>
      </c>
      <c r="J39" s="105">
        <f>+IF(G39="Si",60,IF(G39="En proceso",50,40))</f>
        <v>60</v>
      </c>
      <c r="K39" s="105">
        <v>0.32300000000000001</v>
      </c>
      <c r="L39" s="105">
        <f t="shared" si="3"/>
        <v>60.323</v>
      </c>
    </row>
    <row r="40" spans="1:32" s="49" customFormat="1" ht="47.25" x14ac:dyDescent="0.25">
      <c r="A40" s="103" t="str">
        <f t="shared" si="9"/>
        <v>5c</v>
      </c>
      <c r="B40" s="242"/>
      <c r="C40" s="229"/>
      <c r="D40" s="245"/>
      <c r="E40" s="83" t="s">
        <v>40</v>
      </c>
      <c r="F40" s="85" t="s">
        <v>83</v>
      </c>
      <c r="G40" s="163" t="s">
        <v>39</v>
      </c>
      <c r="H40" s="162" t="s">
        <v>231</v>
      </c>
      <c r="I40" s="108" t="str">
        <f t="shared" si="2"/>
        <v>Mantenimiento del control</v>
      </c>
      <c r="J40" s="105">
        <f>+IF(G40="Si",60,IF(G40="En proceso",50,40))</f>
        <v>60</v>
      </c>
      <c r="K40" s="105">
        <v>0.32400000000000001</v>
      </c>
      <c r="L40" s="105">
        <f t="shared" si="3"/>
        <v>60.323999999999998</v>
      </c>
    </row>
    <row r="41" spans="1:32" s="49" customFormat="1" ht="94.5" x14ac:dyDescent="0.25">
      <c r="A41" s="103" t="str">
        <f t="shared" si="9"/>
        <v>5d</v>
      </c>
      <c r="B41" s="242"/>
      <c r="C41" s="229"/>
      <c r="D41" s="245"/>
      <c r="E41" s="83" t="s">
        <v>42</v>
      </c>
      <c r="F41" s="85" t="s">
        <v>84</v>
      </c>
      <c r="G41" s="114" t="s">
        <v>39</v>
      </c>
      <c r="H41" s="115" t="s">
        <v>201</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43"/>
      <c r="C42" s="230"/>
      <c r="D42" s="246"/>
      <c r="E42" s="86" t="s">
        <v>44</v>
      </c>
      <c r="F42" s="87" t="s">
        <v>85</v>
      </c>
      <c r="G42" s="116" t="s">
        <v>39</v>
      </c>
      <c r="H42" s="117" t="s">
        <v>207</v>
      </c>
      <c r="I42" s="109" t="str">
        <f t="shared" si="2"/>
        <v>Mantenimiento del control</v>
      </c>
      <c r="J42" s="105">
        <f>+IF(G42="Si",60,IF(G42="En proceso",50,40))</f>
        <v>60</v>
      </c>
      <c r="K42" s="105">
        <v>0.32600000000000001</v>
      </c>
      <c r="L42" s="105">
        <f t="shared" si="3"/>
        <v>60.326000000000001</v>
      </c>
    </row>
    <row r="43" spans="1:32" s="49" customFormat="1" ht="49.5" x14ac:dyDescent="0.25">
      <c r="A43" s="103" t="str">
        <f>6&amp;E43</f>
        <v>6a</v>
      </c>
      <c r="B43" s="251" t="s">
        <v>86</v>
      </c>
      <c r="C43" s="231" t="s">
        <v>87</v>
      </c>
      <c r="D43" s="248" t="s">
        <v>88</v>
      </c>
      <c r="E43" s="81" t="s">
        <v>34</v>
      </c>
      <c r="F43" s="82" t="s">
        <v>89</v>
      </c>
      <c r="G43" s="112" t="s">
        <v>39</v>
      </c>
      <c r="H43" s="113" t="s">
        <v>205</v>
      </c>
      <c r="I43" s="104" t="str">
        <f t="shared" si="2"/>
        <v>Mantenimiento del control</v>
      </c>
      <c r="J43" s="105">
        <f t="shared" ref="J43:J49" si="10">+IF(G43="Si",80,IF(G43="En proceso",70,60))</f>
        <v>80</v>
      </c>
      <c r="K43" s="105">
        <v>0.41199999999999998</v>
      </c>
      <c r="L43" s="105">
        <f t="shared" si="3"/>
        <v>80.412000000000006</v>
      </c>
    </row>
    <row r="44" spans="1:32" s="49" customFormat="1" ht="62.25" customHeight="1" x14ac:dyDescent="0.25">
      <c r="A44" s="103" t="str">
        <f t="shared" ref="A44:A49" si="11">6&amp;E44</f>
        <v>6b</v>
      </c>
      <c r="B44" s="252"/>
      <c r="C44" s="232"/>
      <c r="D44" s="249"/>
      <c r="E44" s="83" t="s">
        <v>37</v>
      </c>
      <c r="F44" s="85" t="s">
        <v>90</v>
      </c>
      <c r="G44" s="114" t="s">
        <v>39</v>
      </c>
      <c r="H44" s="115" t="s">
        <v>213</v>
      </c>
      <c r="I44" s="108" t="str">
        <f t="shared" si="2"/>
        <v>Mantenimiento del control</v>
      </c>
      <c r="J44" s="105">
        <f t="shared" si="10"/>
        <v>80</v>
      </c>
      <c r="K44" s="105">
        <v>0.4123</v>
      </c>
      <c r="L44" s="105">
        <f t="shared" si="3"/>
        <v>80.412300000000002</v>
      </c>
    </row>
    <row r="45" spans="1:32" s="49" customFormat="1" ht="66" x14ac:dyDescent="0.25">
      <c r="A45" s="103" t="str">
        <f t="shared" si="11"/>
        <v>6c</v>
      </c>
      <c r="B45" s="252"/>
      <c r="C45" s="232"/>
      <c r="D45" s="249"/>
      <c r="E45" s="83" t="s">
        <v>40</v>
      </c>
      <c r="F45" s="85" t="s">
        <v>91</v>
      </c>
      <c r="G45" s="114" t="s">
        <v>39</v>
      </c>
      <c r="H45" s="115" t="s">
        <v>204</v>
      </c>
      <c r="I45" s="108" t="str">
        <f t="shared" si="2"/>
        <v>Mantenimiento del control</v>
      </c>
      <c r="J45" s="105">
        <f t="shared" si="10"/>
        <v>80</v>
      </c>
      <c r="K45" s="105">
        <v>0.41233999999999998</v>
      </c>
      <c r="L45" s="105">
        <f t="shared" si="3"/>
        <v>80.41234</v>
      </c>
    </row>
    <row r="46" spans="1:32" s="49" customFormat="1" ht="54.75" customHeight="1" x14ac:dyDescent="0.25">
      <c r="A46" s="103" t="str">
        <f t="shared" si="11"/>
        <v>6d</v>
      </c>
      <c r="B46" s="252"/>
      <c r="C46" s="232"/>
      <c r="D46" s="249"/>
      <c r="E46" s="83" t="s">
        <v>42</v>
      </c>
      <c r="F46" s="85" t="s">
        <v>92</v>
      </c>
      <c r="G46" s="163" t="s">
        <v>39</v>
      </c>
      <c r="H46" s="162" t="s">
        <v>232</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52"/>
      <c r="C47" s="232"/>
      <c r="D47" s="249"/>
      <c r="E47" s="83" t="s">
        <v>44</v>
      </c>
      <c r="F47" s="85" t="s">
        <v>93</v>
      </c>
      <c r="G47" s="163" t="s">
        <v>39</v>
      </c>
      <c r="H47" s="162" t="s">
        <v>233</v>
      </c>
      <c r="I47" s="108" t="str">
        <f t="shared" si="2"/>
        <v>Mantenimiento del control</v>
      </c>
      <c r="J47" s="105">
        <f t="shared" si="10"/>
        <v>80</v>
      </c>
      <c r="K47" s="105">
        <v>0.41234559999999998</v>
      </c>
      <c r="L47" s="105">
        <f t="shared" si="3"/>
        <v>80.412345599999995</v>
      </c>
    </row>
    <row r="48" spans="1:32" s="49" customFormat="1" ht="87.75" customHeight="1" x14ac:dyDescent="0.25">
      <c r="A48" s="103" t="str">
        <f t="shared" si="11"/>
        <v>6f</v>
      </c>
      <c r="B48" s="252"/>
      <c r="C48" s="232"/>
      <c r="D48" s="249"/>
      <c r="E48" s="83" t="s">
        <v>46</v>
      </c>
      <c r="F48" s="85" t="s">
        <v>94</v>
      </c>
      <c r="G48" s="114" t="s">
        <v>39</v>
      </c>
      <c r="H48" s="162" t="s">
        <v>218</v>
      </c>
      <c r="I48" s="108" t="str">
        <f t="shared" si="2"/>
        <v>Mantenimiento del control</v>
      </c>
      <c r="J48" s="105">
        <f t="shared" si="10"/>
        <v>80</v>
      </c>
      <c r="K48" s="105">
        <v>0.41234567</v>
      </c>
      <c r="L48" s="105">
        <f t="shared" si="3"/>
        <v>80.412345669999993</v>
      </c>
    </row>
    <row r="49" spans="1:17" s="49" customFormat="1" ht="48" thickBot="1" x14ac:dyDescent="0.3">
      <c r="A49" s="103" t="str">
        <f t="shared" si="11"/>
        <v>6g</v>
      </c>
      <c r="B49" s="253"/>
      <c r="C49" s="233"/>
      <c r="D49" s="250"/>
      <c r="E49" s="86" t="s">
        <v>48</v>
      </c>
      <c r="F49" s="87" t="s">
        <v>95</v>
      </c>
      <c r="G49" s="116" t="s">
        <v>39</v>
      </c>
      <c r="H49" s="166" t="s">
        <v>214</v>
      </c>
      <c r="I49" s="109" t="str">
        <f t="shared" si="2"/>
        <v>Mantenimiento del control</v>
      </c>
      <c r="J49" s="105">
        <f t="shared" si="10"/>
        <v>80</v>
      </c>
      <c r="K49" s="105">
        <v>0.41234567799999999</v>
      </c>
      <c r="L49" s="105">
        <f t="shared" si="3"/>
        <v>80.412345677999994</v>
      </c>
    </row>
    <row r="50" spans="1:17" s="49" customFormat="1" ht="49.5" x14ac:dyDescent="0.25">
      <c r="A50" s="103" t="str">
        <f>7&amp;E50</f>
        <v>7a</v>
      </c>
      <c r="B50" s="219" t="s">
        <v>96</v>
      </c>
      <c r="C50" s="234" t="s">
        <v>97</v>
      </c>
      <c r="D50" s="216" t="s">
        <v>98</v>
      </c>
      <c r="E50" s="81" t="s">
        <v>34</v>
      </c>
      <c r="F50" s="82" t="s">
        <v>99</v>
      </c>
      <c r="G50" s="112" t="s">
        <v>39</v>
      </c>
      <c r="H50" s="113" t="s">
        <v>206</v>
      </c>
      <c r="I50" s="104" t="str">
        <f t="shared" si="2"/>
        <v>Mantenimiento del control</v>
      </c>
      <c r="J50" s="105">
        <f>+IF(G50="Si",120,IF(G50="En proceso",100,80))</f>
        <v>120</v>
      </c>
      <c r="K50" s="105">
        <v>0.85099999999999998</v>
      </c>
      <c r="L50" s="105">
        <f t="shared" si="3"/>
        <v>120.851</v>
      </c>
    </row>
    <row r="51" spans="1:17" s="49" customFormat="1" ht="94.5" x14ac:dyDescent="0.25">
      <c r="A51" s="103" t="str">
        <f t="shared" ref="A51:A53" si="12">7&amp;E51</f>
        <v>7d</v>
      </c>
      <c r="B51" s="220"/>
      <c r="C51" s="235"/>
      <c r="D51" s="217"/>
      <c r="E51" s="83" t="s">
        <v>42</v>
      </c>
      <c r="F51" s="85" t="s">
        <v>100</v>
      </c>
      <c r="G51" s="163" t="s">
        <v>39</v>
      </c>
      <c r="H51" s="162" t="s">
        <v>211</v>
      </c>
      <c r="I51" s="108" t="str">
        <f t="shared" si="2"/>
        <v>Mantenimiento del control</v>
      </c>
      <c r="J51" s="105">
        <f t="shared" ref="J51:J59" si="13">+IF(G51="Si",120,IF(G51="En proceso",100,80))</f>
        <v>120</v>
      </c>
      <c r="K51" s="105">
        <v>0.85119999999999996</v>
      </c>
      <c r="L51" s="105">
        <f t="shared" si="3"/>
        <v>120.85120000000001</v>
      </c>
    </row>
    <row r="52" spans="1:17" s="49" customFormat="1" ht="115.5" x14ac:dyDescent="0.25">
      <c r="A52" s="103" t="str">
        <f t="shared" si="12"/>
        <v>7f</v>
      </c>
      <c r="B52" s="220"/>
      <c r="C52" s="235"/>
      <c r="D52" s="217"/>
      <c r="E52" s="83" t="s">
        <v>46</v>
      </c>
      <c r="F52" s="85" t="s">
        <v>101</v>
      </c>
      <c r="G52" s="114" t="s">
        <v>39</v>
      </c>
      <c r="H52" s="115" t="s">
        <v>215</v>
      </c>
      <c r="I52" s="108" t="str">
        <f t="shared" si="2"/>
        <v>Mantenimiento del control</v>
      </c>
      <c r="J52" s="105">
        <f t="shared" si="13"/>
        <v>120</v>
      </c>
      <c r="K52" s="105">
        <v>0.85123000000000004</v>
      </c>
      <c r="L52" s="105">
        <f t="shared" si="3"/>
        <v>120.85123</v>
      </c>
    </row>
    <row r="53" spans="1:17" s="49" customFormat="1" ht="50.25" thickBot="1" x14ac:dyDescent="0.3">
      <c r="A53" s="103" t="str">
        <f t="shared" si="12"/>
        <v>7g</v>
      </c>
      <c r="B53" s="221"/>
      <c r="C53" s="236"/>
      <c r="D53" s="254"/>
      <c r="E53" s="86" t="s">
        <v>48</v>
      </c>
      <c r="F53" s="87" t="s">
        <v>102</v>
      </c>
      <c r="G53" s="116" t="s">
        <v>39</v>
      </c>
      <c r="H53" s="117" t="s">
        <v>216</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0" t="s">
        <v>103</v>
      </c>
      <c r="C54" s="161" t="s">
        <v>97</v>
      </c>
      <c r="D54" s="76" t="s">
        <v>104</v>
      </c>
      <c r="E54" s="81" t="s">
        <v>50</v>
      </c>
      <c r="F54" s="82" t="s">
        <v>105</v>
      </c>
      <c r="G54" s="112" t="s">
        <v>39</v>
      </c>
      <c r="H54" s="113" t="s">
        <v>212</v>
      </c>
      <c r="I54" s="104" t="str">
        <f t="shared" si="2"/>
        <v>Mantenimiento del control</v>
      </c>
      <c r="J54" s="105">
        <f t="shared" si="13"/>
        <v>120</v>
      </c>
      <c r="K54" s="105">
        <v>0.85123450000000001</v>
      </c>
      <c r="L54" s="105">
        <f t="shared" si="3"/>
        <v>120.8512345</v>
      </c>
    </row>
    <row r="55" spans="1:17" s="49" customFormat="1" ht="66" x14ac:dyDescent="0.25">
      <c r="A55" s="103" t="str">
        <f>9&amp;E55</f>
        <v>9a</v>
      </c>
      <c r="B55" s="219" t="s">
        <v>106</v>
      </c>
      <c r="C55" s="234" t="s">
        <v>97</v>
      </c>
      <c r="D55" s="216" t="s">
        <v>107</v>
      </c>
      <c r="E55" s="81" t="s">
        <v>34</v>
      </c>
      <c r="F55" s="82" t="s">
        <v>108</v>
      </c>
      <c r="G55" s="112" t="s">
        <v>36</v>
      </c>
      <c r="H55" s="113" t="s">
        <v>217</v>
      </c>
      <c r="I55" s="104" t="str">
        <f t="shared" si="2"/>
        <v>Deficiencia de control</v>
      </c>
      <c r="J55" s="105">
        <f t="shared" si="13"/>
        <v>80</v>
      </c>
      <c r="K55" s="110">
        <v>0.85123455999999997</v>
      </c>
      <c r="L55" s="105">
        <f t="shared" si="3"/>
        <v>80.851234559999995</v>
      </c>
      <c r="M55" s="48"/>
      <c r="N55" s="48"/>
      <c r="O55" s="48"/>
      <c r="P55" s="48"/>
      <c r="Q55" s="48"/>
    </row>
    <row r="56" spans="1:17" s="49" customFormat="1" ht="55.5" customHeight="1" x14ac:dyDescent="0.25">
      <c r="A56" s="103" t="str">
        <f t="shared" ref="A56:A59" si="14">9&amp;E56</f>
        <v>9b</v>
      </c>
      <c r="B56" s="220"/>
      <c r="C56" s="235"/>
      <c r="D56" s="217"/>
      <c r="E56" s="83" t="s">
        <v>37</v>
      </c>
      <c r="F56" s="85" t="s">
        <v>109</v>
      </c>
      <c r="G56" s="114" t="s">
        <v>39</v>
      </c>
      <c r="H56" s="115" t="s">
        <v>219</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20"/>
      <c r="C57" s="235"/>
      <c r="D57" s="217"/>
      <c r="E57" s="83" t="s">
        <v>40</v>
      </c>
      <c r="F57" s="85" t="s">
        <v>110</v>
      </c>
      <c r="G57" s="114" t="s">
        <v>39</v>
      </c>
      <c r="H57" s="115" t="s">
        <v>222</v>
      </c>
      <c r="I57" s="108" t="str">
        <f t="shared" si="2"/>
        <v>Mantenimiento del control</v>
      </c>
      <c r="J57" s="105">
        <f t="shared" si="13"/>
        <v>120</v>
      </c>
      <c r="K57" s="110">
        <v>0.85123456779999995</v>
      </c>
      <c r="L57" s="105">
        <f t="shared" si="3"/>
        <v>120.85123456780001</v>
      </c>
      <c r="M57" s="48"/>
      <c r="N57" s="48"/>
      <c r="O57" s="48"/>
      <c r="P57" s="48"/>
      <c r="Q57" s="48"/>
    </row>
    <row r="58" spans="1:17" s="49" customFormat="1" ht="77.25" customHeight="1" x14ac:dyDescent="0.25">
      <c r="A58" s="103" t="str">
        <f t="shared" si="14"/>
        <v>9d</v>
      </c>
      <c r="B58" s="220"/>
      <c r="C58" s="235"/>
      <c r="D58" s="217"/>
      <c r="E58" s="83" t="s">
        <v>42</v>
      </c>
      <c r="F58" s="85" t="s">
        <v>111</v>
      </c>
      <c r="G58" s="114" t="s">
        <v>39</v>
      </c>
      <c r="H58" s="115" t="s">
        <v>223</v>
      </c>
      <c r="I58" s="108" t="str">
        <f t="shared" si="2"/>
        <v>Mantenimiento del control</v>
      </c>
      <c r="J58" s="105">
        <f t="shared" si="13"/>
        <v>120</v>
      </c>
      <c r="K58" s="110">
        <v>0.85123456788999996</v>
      </c>
      <c r="L58" s="105">
        <f t="shared" si="3"/>
        <v>120.85123456789</v>
      </c>
      <c r="M58" s="48"/>
      <c r="N58" s="48"/>
      <c r="O58" s="48"/>
      <c r="P58" s="48"/>
      <c r="Q58" s="48"/>
    </row>
    <row r="59" spans="1:17" s="49" customFormat="1" ht="77.25" customHeight="1" thickBot="1" x14ac:dyDescent="0.3">
      <c r="A59" s="103" t="str">
        <f t="shared" si="14"/>
        <v>9e</v>
      </c>
      <c r="B59" s="221"/>
      <c r="C59" s="235"/>
      <c r="D59" s="218"/>
      <c r="E59" s="86" t="s">
        <v>44</v>
      </c>
      <c r="F59" s="87" t="s">
        <v>112</v>
      </c>
      <c r="G59" s="116" t="s">
        <v>39</v>
      </c>
      <c r="H59" s="117" t="s">
        <v>224</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49" zoomScale="80" zoomScaleNormal="80" workbookViewId="0">
      <selection activeCell="J46" sqref="J46:J5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7" t="s">
        <v>113</v>
      </c>
      <c r="D7" s="298"/>
      <c r="E7" s="298"/>
      <c r="F7" s="298"/>
      <c r="G7" s="298"/>
      <c r="H7" s="298"/>
      <c r="I7" s="298"/>
      <c r="J7" s="298"/>
      <c r="K7" s="299"/>
    </row>
    <row r="8" spans="1:11" s="1" customFormat="1" ht="15.75" thickBot="1" x14ac:dyDescent="0.3">
      <c r="C8" s="39"/>
      <c r="D8" s="39"/>
      <c r="E8" s="40"/>
      <c r="F8" s="40"/>
      <c r="G8" s="40"/>
      <c r="H8" s="40"/>
      <c r="I8" s="50"/>
      <c r="J8" s="40"/>
      <c r="K8" s="40"/>
    </row>
    <row r="9" spans="1:11" ht="21" thickBot="1" x14ac:dyDescent="0.3">
      <c r="A9" s="1"/>
      <c r="B9" s="1"/>
      <c r="C9" s="199" t="s">
        <v>15</v>
      </c>
      <c r="D9" s="200"/>
      <c r="E9" s="200" t="s">
        <v>16</v>
      </c>
      <c r="F9" s="211"/>
      <c r="G9" s="40"/>
      <c r="H9" s="40"/>
      <c r="I9" s="50"/>
      <c r="J9" s="40"/>
      <c r="K9" s="40"/>
    </row>
    <row r="10" spans="1:11" ht="54" customHeight="1" x14ac:dyDescent="0.25">
      <c r="A10" s="1"/>
      <c r="B10" s="1"/>
      <c r="C10" s="212" t="s">
        <v>17</v>
      </c>
      <c r="D10" s="213"/>
      <c r="E10" s="214" t="s">
        <v>18</v>
      </c>
      <c r="F10" s="215"/>
      <c r="G10" s="41"/>
      <c r="H10" s="42">
        <v>1</v>
      </c>
      <c r="I10" s="50"/>
      <c r="J10" s="40"/>
      <c r="K10" s="40"/>
    </row>
    <row r="11" spans="1:11" ht="46.5" customHeight="1" x14ac:dyDescent="0.25">
      <c r="A11" s="1"/>
      <c r="B11" s="1"/>
      <c r="C11" s="201" t="s">
        <v>19</v>
      </c>
      <c r="D11" s="202"/>
      <c r="E11" s="203" t="s">
        <v>114</v>
      </c>
      <c r="F11" s="204"/>
      <c r="G11" s="43" t="s">
        <v>115</v>
      </c>
      <c r="H11" s="42">
        <v>0.75</v>
      </c>
      <c r="I11" s="50"/>
      <c r="J11" s="40"/>
      <c r="K11" s="40"/>
    </row>
    <row r="12" spans="1:11" ht="70.5" customHeight="1" thickBot="1" x14ac:dyDescent="0.3">
      <c r="A12" s="1"/>
      <c r="B12" s="1"/>
      <c r="C12" s="205" t="s">
        <v>21</v>
      </c>
      <c r="D12" s="206"/>
      <c r="E12" s="207" t="s">
        <v>116</v>
      </c>
      <c r="F12" s="208"/>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9" t="s">
        <v>117</v>
      </c>
      <c r="D17" s="291" t="s">
        <v>118</v>
      </c>
      <c r="E17" s="292"/>
      <c r="F17" s="293" t="s">
        <v>119</v>
      </c>
      <c r="G17" s="295" t="s">
        <v>120</v>
      </c>
      <c r="H17" s="38"/>
      <c r="I17" s="284" t="s">
        <v>121</v>
      </c>
      <c r="J17" s="284" t="s">
        <v>122</v>
      </c>
    </row>
    <row r="18" spans="1:10" ht="36" customHeight="1" thickBot="1" x14ac:dyDescent="0.3">
      <c r="A18" s="1"/>
      <c r="B18" s="1"/>
      <c r="C18" s="290"/>
      <c r="D18" s="120" t="s">
        <v>123</v>
      </c>
      <c r="E18" s="121" t="s">
        <v>27</v>
      </c>
      <c r="F18" s="294"/>
      <c r="G18" s="296"/>
      <c r="H18" s="38"/>
      <c r="I18" s="285"/>
      <c r="J18" s="285"/>
    </row>
    <row r="19" spans="1:10" ht="65.25" customHeight="1" x14ac:dyDescent="0.25">
      <c r="A19" s="1"/>
      <c r="B19" s="1"/>
      <c r="C19" s="139">
        <v>1</v>
      </c>
      <c r="D19" s="286" t="s">
        <v>32</v>
      </c>
      <c r="E19" s="122" t="str">
        <f>+IFERROR(INDEX(Hoja1!$E$2:$E$45,MATCH('Análisis Resultados'!C19,Hoja1!$H$2:$H$45,0)),"")</f>
        <v>Evaluación a los servidores públicos de acuerdo con el marco normativo que le rige</v>
      </c>
      <c r="F19" s="123" t="str">
        <f>+IFERROR(VLOOKUP(C19,Hoja1!$H$2:$I$45,2,0),"")</f>
        <v>No</v>
      </c>
      <c r="G19" s="124"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0">
        <f>+IF(F19="Si",1,IF(F19="En proceso",0.5,0))</f>
        <v>0</v>
      </c>
      <c r="J19" s="268">
        <f>+AVERAGE(I19:I30)</f>
        <v>0.91666666666666663</v>
      </c>
    </row>
    <row r="20" spans="1:10" ht="45" x14ac:dyDescent="0.25">
      <c r="A20" s="1"/>
      <c r="B20" s="1"/>
      <c r="C20" s="139">
        <v>2</v>
      </c>
      <c r="D20" s="287"/>
      <c r="E20" s="125" t="str">
        <f>+IFERROR(INDEX(Hoja1!$E$2:$E$45,MATCH('Análisis Resultados'!C20,Hoja1!$H$2:$H$45,0)),"")</f>
        <v>Documento interno o adopción del MECI actualizado</v>
      </c>
      <c r="F20" s="126" t="str">
        <f>+IFERROR(VLOOKUP(C20,Hoja1!$H$2:$I$45,2,0),"")</f>
        <v>Si</v>
      </c>
      <c r="G20" s="127"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1">
        <f t="shared" ref="I20:I62" si="1">+IF(F20="Si",1,IF(F20="En proceso",0.5,0))</f>
        <v>1</v>
      </c>
      <c r="J20" s="269"/>
    </row>
    <row r="21" spans="1:10" ht="57" x14ac:dyDescent="0.25">
      <c r="A21" s="1"/>
      <c r="B21" s="1"/>
      <c r="C21" s="139">
        <v>3</v>
      </c>
      <c r="D21" s="287"/>
      <c r="E21" s="125" t="str">
        <f>+IFERROR(INDEX(Hoja1!$E$2:$E$45,MATCH('Análisis Resultados'!C21,Hoja1!$H$2:$H$45,0)),"")</f>
        <v>Un documento tal como un código de ética, integridad u otro que formalice los estándares de conducta, los principios institucionales o los valores del servicio público</v>
      </c>
      <c r="F21" s="126" t="str">
        <f>+IFERROR(VLOOKUP(C21,Hoja1!$H$2:$I$45,2,0),"")</f>
        <v>Si</v>
      </c>
      <c r="G21" s="127" t="str">
        <f t="shared" si="0"/>
        <v>Existe requerimiento pero se requiere actividades  dirigidas a su mantenimiento dentro del marco de las lineas de defensa.</v>
      </c>
      <c r="H21" s="18"/>
      <c r="I21" s="141">
        <f t="shared" si="1"/>
        <v>1</v>
      </c>
      <c r="J21" s="269"/>
    </row>
    <row r="22" spans="1:10" ht="56.25" customHeight="1" x14ac:dyDescent="0.25">
      <c r="A22" s="1"/>
      <c r="B22" s="1"/>
      <c r="C22" s="139">
        <v>4</v>
      </c>
      <c r="D22" s="287"/>
      <c r="E22" s="125" t="str">
        <f>+IFERROR(INDEX(Hoja1!$E$2:$E$45,MATCH('Análisis Resultados'!C22,Hoja1!$H$2:$H$45,0)),"")</f>
        <v>Planes, programas y proyectos de acuerdo con las normas que rigen y atendiendo con su propósito fundamental institucional (misión)</v>
      </c>
      <c r="F22" s="126" t="str">
        <f>+IFERROR(VLOOKUP(C22,Hoja1!$H$2:$I$45,2,0),"")</f>
        <v>Si</v>
      </c>
      <c r="G22" s="127" t="str">
        <f t="shared" si="0"/>
        <v>Existe requerimiento pero se requiere actividades  dirigidas a su mantenimiento dentro del marco de las lineas de defensa.</v>
      </c>
      <c r="H22" s="18"/>
      <c r="I22" s="141">
        <f t="shared" si="1"/>
        <v>1</v>
      </c>
      <c r="J22" s="269"/>
    </row>
    <row r="23" spans="1:10" ht="45" x14ac:dyDescent="0.25">
      <c r="A23" s="1"/>
      <c r="B23" s="1"/>
      <c r="C23" s="139">
        <v>5</v>
      </c>
      <c r="D23" s="287"/>
      <c r="E23" s="125" t="str">
        <f>+IFERROR(INDEX(Hoja1!$E$2:$E$45,MATCH('Análisis Resultados'!C23,Hoja1!$H$2:$H$45,0)),"")</f>
        <v>Una estructura organizacional formalizada (organigrama)</v>
      </c>
      <c r="F23" s="126" t="str">
        <f>+IFERROR(VLOOKUP(C23,Hoja1!$H$2:$I$45,2,0),"")</f>
        <v>Si</v>
      </c>
      <c r="G23" s="127" t="str">
        <f t="shared" si="0"/>
        <v>Existe requerimiento pero se requiere actividades  dirigidas a su mantenimiento dentro del marco de las lineas de defensa.</v>
      </c>
      <c r="H23" s="18"/>
      <c r="I23" s="141">
        <f t="shared" si="1"/>
        <v>1</v>
      </c>
      <c r="J23" s="269"/>
    </row>
    <row r="24" spans="1:10" ht="45" x14ac:dyDescent="0.25">
      <c r="A24" s="1"/>
      <c r="B24" s="1"/>
      <c r="C24" s="139">
        <v>6</v>
      </c>
      <c r="D24" s="287"/>
      <c r="E24" s="125" t="str">
        <f>+IFERROR(INDEX(Hoja1!$E$2:$E$45,MATCH('Análisis Resultados'!C24,Hoja1!$H$2:$H$45,0)),"")</f>
        <v>Un manual de funciones que describa los empleos de la entidad</v>
      </c>
      <c r="F24" s="126" t="str">
        <f>+IFERROR(VLOOKUP(C24,Hoja1!$H$2:$I$45,2,0),"")</f>
        <v>Si</v>
      </c>
      <c r="G24" s="127" t="str">
        <f t="shared" si="0"/>
        <v>Existe requerimiento pero se requiere actividades  dirigidas a su mantenimiento dentro del marco de las lineas de defensa.</v>
      </c>
      <c r="H24" s="18"/>
      <c r="I24" s="141">
        <f t="shared" si="1"/>
        <v>1</v>
      </c>
      <c r="J24" s="269"/>
    </row>
    <row r="25" spans="1:10" ht="45" x14ac:dyDescent="0.25">
      <c r="A25" s="1"/>
      <c r="B25" s="1"/>
      <c r="C25" s="139">
        <v>7</v>
      </c>
      <c r="D25" s="287"/>
      <c r="E25" s="125" t="str">
        <f>+IFERROR(INDEX(Hoja1!$E$2:$E$45,MATCH('Análisis Resultados'!C25,Hoja1!$H$2:$H$45,0)),"")</f>
        <v>La documentación de sus procesos y procedimientos o bien una lista de actividades principales que permitan conocer el estado de su gestión</v>
      </c>
      <c r="F25" s="126" t="str">
        <f>+IFERROR(VLOOKUP(C25,Hoja1!$H$2:$I$45,2,0),"")</f>
        <v>Si</v>
      </c>
      <c r="G25" s="127" t="str">
        <f t="shared" si="0"/>
        <v>Existe requerimiento pero se requiere actividades  dirigidas a su mantenimiento dentro del marco de las lineas de defensa.</v>
      </c>
      <c r="H25" s="18"/>
      <c r="I25" s="141">
        <f t="shared" si="1"/>
        <v>1</v>
      </c>
      <c r="J25" s="269"/>
    </row>
    <row r="26" spans="1:10" ht="45" x14ac:dyDescent="0.25">
      <c r="A26" s="1"/>
      <c r="B26" s="1"/>
      <c r="C26" s="139">
        <v>8</v>
      </c>
      <c r="D26" s="287"/>
      <c r="E26" s="125" t="str">
        <f>+IFERROR(INDEX(Hoja1!$E$2:$E$45,MATCH('Análisis Resultados'!C26,Hoja1!$H$2:$H$45,0)),"")</f>
        <v>Vinculación de los servidores públicos de acuerdo con el marco normativo que les rige (carrera administrativa, libre nombramiento y remoción, entre otros)</v>
      </c>
      <c r="F26" s="126" t="str">
        <f>+IFERROR(VLOOKUP(C26,Hoja1!$H$2:$I$45,2,0),"")</f>
        <v>Si</v>
      </c>
      <c r="G26" s="127" t="str">
        <f t="shared" si="0"/>
        <v>Existe requerimiento pero se requiere actividades  dirigidas a su mantenimiento dentro del marco de las lineas de defensa.</v>
      </c>
      <c r="H26" s="18"/>
      <c r="I26" s="141">
        <f t="shared" si="1"/>
        <v>1</v>
      </c>
      <c r="J26" s="269"/>
    </row>
    <row r="27" spans="1:10" ht="45" x14ac:dyDescent="0.25">
      <c r="A27" s="1"/>
      <c r="B27" s="1"/>
      <c r="C27" s="139">
        <v>9</v>
      </c>
      <c r="D27" s="287"/>
      <c r="E27" s="125" t="str">
        <f>+IFERROR(INDEX(Hoja1!$E$2:$E$45,MATCH('Análisis Resultados'!C27,Hoja1!$H$2:$H$45,0)),"")</f>
        <v>Procesos de inducción, capacitación y bienestar social para sus servidores públicos, de manera directa o en asociación con otras entidades municipales</v>
      </c>
      <c r="F27" s="126" t="str">
        <f>+IFERROR(VLOOKUP(C27,Hoja1!$H$2:$I$45,2,0),"")</f>
        <v>Si</v>
      </c>
      <c r="G27" s="127" t="str">
        <f t="shared" si="0"/>
        <v>Existe requerimiento pero se requiere actividades  dirigidas a su mantenimiento dentro del marco de las lineas de defensa.</v>
      </c>
      <c r="H27" s="18"/>
      <c r="I27" s="141">
        <f t="shared" si="1"/>
        <v>1</v>
      </c>
      <c r="J27" s="269"/>
    </row>
    <row r="28" spans="1:10" ht="45" x14ac:dyDescent="0.25">
      <c r="A28" s="1"/>
      <c r="B28" s="1"/>
      <c r="C28" s="139">
        <v>10</v>
      </c>
      <c r="D28" s="287"/>
      <c r="E28" s="125" t="str">
        <f>+IFERROR(INDEX(Hoja1!$E$2:$E$45,MATCH('Análisis Resultados'!C28,Hoja1!$H$2:$H$45,0)),"")</f>
        <v>Procesos de desvinculación de servidores de acuerdo con lo previsto en la Constitución Política y las leyes</v>
      </c>
      <c r="F28" s="126" t="str">
        <f>+IFERROR(VLOOKUP(C28,Hoja1!$H$2:$I$45,2,0),"")</f>
        <v>Si</v>
      </c>
      <c r="G28" s="127" t="str">
        <f t="shared" si="0"/>
        <v>Existe requerimiento pero se requiere actividades  dirigidas a su mantenimiento dentro del marco de las lineas de defensa.</v>
      </c>
      <c r="H28" s="18"/>
      <c r="I28" s="141">
        <f t="shared" si="1"/>
        <v>1</v>
      </c>
      <c r="J28" s="269"/>
    </row>
    <row r="29" spans="1:10" ht="45" x14ac:dyDescent="0.25">
      <c r="A29" s="1"/>
      <c r="B29" s="1"/>
      <c r="C29" s="139">
        <v>11</v>
      </c>
      <c r="D29" s="287"/>
      <c r="E29" s="125" t="str">
        <f>+IFERROR(INDEX(Hoja1!$E$2:$E$45,MATCH('Análisis Resultados'!C29,Hoja1!$H$2:$H$45,0)),"")</f>
        <v>Mecanismos de rendición de cuentas a la ciudadanía</v>
      </c>
      <c r="F29" s="126" t="str">
        <f>+IFERROR(VLOOKUP(C29,Hoja1!$H$2:$I$45,2,0),"")</f>
        <v>Si</v>
      </c>
      <c r="G29" s="127"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1">
        <f t="shared" si="1"/>
        <v>1</v>
      </c>
      <c r="J29" s="269"/>
    </row>
    <row r="30" spans="1:10" ht="45.75" thickBot="1" x14ac:dyDescent="0.3">
      <c r="A30" s="1"/>
      <c r="B30" s="1"/>
      <c r="C30" s="139">
        <v>12</v>
      </c>
      <c r="D30" s="288"/>
      <c r="E30" s="128" t="str">
        <f>+IFERROR(INDEX(Hoja1!$E$2:$E$45,MATCH('Análisis Resultados'!C30,Hoja1!$H$2:$H$45,0)),"")</f>
        <v>Presentación oportuna de sus informes de gestión a las autoridades competentes</v>
      </c>
      <c r="F30" s="129" t="str">
        <f>+IFERROR(VLOOKUP(C30,Hoja1!$H$2:$I$45,2,0),"")</f>
        <v>Si</v>
      </c>
      <c r="G30" s="130" t="str">
        <f t="shared" si="0"/>
        <v>Existe requerimiento pero se requiere actividades  dirigidas a su mantenimiento dentro del marco de las lineas de defensa.</v>
      </c>
      <c r="H30" s="18"/>
      <c r="I30" s="142">
        <f t="shared" si="1"/>
        <v>1</v>
      </c>
      <c r="J30" s="270"/>
    </row>
    <row r="31" spans="1:10" ht="45" customHeight="1" x14ac:dyDescent="0.25">
      <c r="A31" s="1"/>
      <c r="B31" s="1"/>
      <c r="C31" s="139">
        <v>13</v>
      </c>
      <c r="D31" s="282" t="s">
        <v>61</v>
      </c>
      <c r="E31" s="122" t="str">
        <f>+IFERROR(INDEX(Hoja1!$E$2:$E$45,MATCH('Análisis Resultados'!C31,Hoja1!$H$2:$H$45,0)),"")</f>
        <v>La identificación de cambios en su entorno que pueden generar consecuencias negativas en su gestión</v>
      </c>
      <c r="F31" s="123" t="str">
        <f>+IFERROR(VLOOKUP(C31,Hoja1!$H$2:$I$45,2,0),"")</f>
        <v>Si</v>
      </c>
      <c r="G31" s="124" t="str">
        <f t="shared" si="0"/>
        <v>Existe requerimiento pero se requiere actividades  dirigidas a su mantenimiento dentro del marco de las lineas de defensa.</v>
      </c>
      <c r="H31" s="18"/>
      <c r="I31" s="140">
        <f t="shared" si="1"/>
        <v>1</v>
      </c>
      <c r="J31" s="266">
        <f>+AVERAGE(I31:I40)</f>
        <v>1</v>
      </c>
    </row>
    <row r="32" spans="1:10" ht="57" customHeight="1" x14ac:dyDescent="0.25">
      <c r="A32" s="1"/>
      <c r="B32" s="1"/>
      <c r="C32" s="139">
        <v>14</v>
      </c>
      <c r="D32" s="283"/>
      <c r="E32" s="125" t="str">
        <f>+IFERROR(INDEX(Hoja1!$E$2:$E$45,MATCH('Análisis Resultados'!C32,Hoja1!$H$2:$H$45,0)),"")</f>
        <v>La identificación de aquellos problemas o aspectos que pueden afectar el cumplimiento de los planes de la entidad y en general su gestión institucional (riesgos)</v>
      </c>
      <c r="F32" s="126" t="str">
        <f>+IFERROR(VLOOKUP(C32,Hoja1!$H$2:$I$45,2,0),"")</f>
        <v>Si</v>
      </c>
      <c r="G32" s="127" t="str">
        <f t="shared" si="0"/>
        <v>Existe requerimiento pero se requiere actividades  dirigidas a su mantenimiento dentro del marco de las lineas de defensa.</v>
      </c>
      <c r="H32" s="18"/>
      <c r="I32" s="141">
        <f t="shared" si="1"/>
        <v>1</v>
      </c>
      <c r="J32" s="267"/>
    </row>
    <row r="33" spans="1:10" ht="54" customHeight="1" x14ac:dyDescent="0.25">
      <c r="A33" s="1"/>
      <c r="B33" s="1"/>
      <c r="C33" s="139">
        <v>15</v>
      </c>
      <c r="D33" s="283"/>
      <c r="E33" s="125" t="str">
        <f>+IFERROR(INDEX(Hoja1!$E$2:$E$45,MATCH('Análisis Resultados'!C33,Hoja1!$H$2:$H$45,0)),"")</f>
        <v>La identificación  de los riesgos relacionados con posibles actos de corrupción en el ejercicio de sus funciones</v>
      </c>
      <c r="F33" s="126" t="str">
        <f>+IFERROR(VLOOKUP(C33,Hoja1!$H$2:$I$45,2,0),"")</f>
        <v>Si</v>
      </c>
      <c r="G33" s="127" t="str">
        <f t="shared" si="0"/>
        <v>Existe requerimiento pero se requiere actividades  dirigidas a su mantenimiento dentro del marco de las lineas de defensa.</v>
      </c>
      <c r="H33" s="18"/>
      <c r="I33" s="141">
        <f t="shared" si="1"/>
        <v>1</v>
      </c>
      <c r="J33" s="267"/>
    </row>
    <row r="34" spans="1:10" ht="45" x14ac:dyDescent="0.25">
      <c r="A34" s="1"/>
      <c r="B34" s="1"/>
      <c r="C34" s="139">
        <v>16</v>
      </c>
      <c r="D34" s="283"/>
      <c r="E34" s="125" t="str">
        <f>+IFERROR(INDEX(Hoja1!$E$2:$E$45,MATCH('Análisis Resultados'!C34,Hoja1!$H$2:$H$45,0)),"")</f>
        <v>Si su capacidad e infraestructura lo permite, identificación de riesgos asociados a las tecnologías de la información y las comunicaciones</v>
      </c>
      <c r="F34" s="126" t="str">
        <f>+IFERROR(VLOOKUP(C34,Hoja1!$H$2:$I$45,2,0),"")</f>
        <v>Si</v>
      </c>
      <c r="G34" s="127" t="str">
        <f t="shared" si="0"/>
        <v>Existe requerimiento pero se requiere actividades  dirigidas a su mantenimiento dentro del marco de las lineas de defensa.</v>
      </c>
      <c r="H34" s="18"/>
      <c r="I34" s="141">
        <f t="shared" si="1"/>
        <v>1</v>
      </c>
      <c r="J34" s="267"/>
    </row>
    <row r="35" spans="1:10" ht="67.5" customHeight="1" x14ac:dyDescent="0.25">
      <c r="A35" s="1"/>
      <c r="B35" s="1"/>
      <c r="C35" s="139">
        <v>17</v>
      </c>
      <c r="D35" s="283"/>
      <c r="E35" s="125" t="str">
        <f>+IFERROR(INDEX(Hoja1!$E$2:$E$45,MATCH('Análisis Resultados'!C35,Hoja1!$H$2:$H$45,0)),"")</f>
        <v>Hacen seguimiento a los problemas (riesgos)  que pueden afectar el cumplimiento de sus procesos, programas o proyectos a cargo</v>
      </c>
      <c r="F35" s="126" t="str">
        <f>+IFERROR(VLOOKUP(C35,Hoja1!$H$2:$I$45,2,0),"")</f>
        <v>Si</v>
      </c>
      <c r="G35" s="127" t="str">
        <f t="shared" si="0"/>
        <v>Existe requerimiento pero se requiere actividades  dirigidas a su mantenimiento dentro del marco de las lineas de defensa.</v>
      </c>
      <c r="H35" s="18"/>
      <c r="I35" s="141">
        <f t="shared" si="1"/>
        <v>1</v>
      </c>
      <c r="J35" s="267"/>
    </row>
    <row r="36" spans="1:10" ht="45" x14ac:dyDescent="0.25">
      <c r="A36" s="1"/>
      <c r="B36" s="1"/>
      <c r="C36" s="139">
        <v>18</v>
      </c>
      <c r="D36" s="283"/>
      <c r="E36" s="125" t="str">
        <f>+IFERROR(INDEX(Hoja1!$E$2:$E$45,MATCH('Análisis Resultados'!C36,Hoja1!$H$2:$H$45,0)),"")</f>
        <v>Informan de manera periódica a quien corresponda sobre el desempeño de las actividades de gestión de riesgos</v>
      </c>
      <c r="F36" s="126" t="str">
        <f>+IFERROR(VLOOKUP(C36,Hoja1!$H$2:$I$45,2,0),"")</f>
        <v>Si</v>
      </c>
      <c r="G36" s="127" t="str">
        <f t="shared" si="0"/>
        <v>Existe requerimiento pero se requiere actividades  dirigidas a su mantenimiento dentro del marco de las lineas de defensa.</v>
      </c>
      <c r="H36" s="18"/>
      <c r="I36" s="141">
        <f t="shared" si="1"/>
        <v>1</v>
      </c>
      <c r="J36" s="267"/>
    </row>
    <row r="37" spans="1:10" ht="57" customHeight="1" x14ac:dyDescent="0.25">
      <c r="A37" s="1"/>
      <c r="B37" s="1"/>
      <c r="C37" s="139">
        <v>19</v>
      </c>
      <c r="D37" s="283"/>
      <c r="E37" s="125" t="str">
        <f>+IFERROR(INDEX(Hoja1!$E$2:$E$45,MATCH('Análisis Resultados'!C37,Hoja1!$H$2:$H$45,0)),"")</f>
        <v>Identifican deficiencias en las maneras de  controlar los riesgos o problemas en sus procesos, programas o proyectos, y propone los ajustes necesarios</v>
      </c>
      <c r="F37" s="126" t="str">
        <f>+IFERROR(VLOOKUP(C37,Hoja1!$H$2:$I$45,2,0),"")</f>
        <v>Si</v>
      </c>
      <c r="G37" s="127" t="str">
        <f t="shared" si="0"/>
        <v>Existe requerimiento pero se requiere actividades  dirigidas a su mantenimiento dentro del marco de las lineas de defensa.</v>
      </c>
      <c r="H37" s="18"/>
      <c r="I37" s="141">
        <f t="shared" si="1"/>
        <v>1</v>
      </c>
      <c r="J37" s="267"/>
    </row>
    <row r="38" spans="1:10" ht="45" x14ac:dyDescent="0.25">
      <c r="A38" s="1"/>
      <c r="B38" s="1"/>
      <c r="C38" s="139">
        <v>20</v>
      </c>
      <c r="D38" s="283"/>
      <c r="E38" s="125" t="str">
        <f>+IFERROR(INDEX(Hoja1!$E$2:$E$45,MATCH('Análisis Resultados'!C38,Hoja1!$H$2:$H$45,0)),"")</f>
        <v>Se definen espacios de reunión para conocerlos y proponer acciones para su solución</v>
      </c>
      <c r="F38" s="126" t="str">
        <f>+IFERROR(VLOOKUP(C38,Hoja1!$H$2:$I$45,2,0),"")</f>
        <v>Si</v>
      </c>
      <c r="G38" s="127" t="str">
        <f t="shared" si="0"/>
        <v>Existe requerimiento pero se requiere actividades  dirigidas a su mantenimiento dentro del marco de las lineas de defensa.</v>
      </c>
      <c r="H38" s="18"/>
      <c r="I38" s="141">
        <f t="shared" si="1"/>
        <v>1</v>
      </c>
      <c r="J38" s="267"/>
    </row>
    <row r="39" spans="1:10" ht="45" x14ac:dyDescent="0.25">
      <c r="A39" s="1"/>
      <c r="B39" s="1"/>
      <c r="C39" s="139">
        <v>21</v>
      </c>
      <c r="D39" s="283"/>
      <c r="E39" s="125" t="str">
        <f>+IFERROR(INDEX(Hoja1!$E$2:$E$45,MATCH('Análisis Resultados'!C39,Hoja1!$H$2:$H$45,0)),"")</f>
        <v>Cada líder del equipo autónomamente toma las acciones para solucionarlos.</v>
      </c>
      <c r="F39" s="126" t="str">
        <f>+IFERROR(VLOOKUP(C39,Hoja1!$H$2:$I$45,2,0),"")</f>
        <v>Si</v>
      </c>
      <c r="G39" s="127" t="str">
        <f t="shared" si="0"/>
        <v>Existe requerimiento pero se requiere actividades  dirigidas a su mantenimiento dentro del marco de las lineas de defensa.</v>
      </c>
      <c r="H39" s="18"/>
      <c r="I39" s="141">
        <f t="shared" si="1"/>
        <v>1</v>
      </c>
      <c r="J39" s="267"/>
    </row>
    <row r="40" spans="1:10" ht="45.75" thickBot="1" x14ac:dyDescent="0.3">
      <c r="A40" s="1"/>
      <c r="B40" s="1"/>
      <c r="C40" s="139">
        <v>22</v>
      </c>
      <c r="D40" s="283"/>
      <c r="E40" s="131" t="str">
        <f>+IFERROR(INDEX(Hoja1!$E$2:$E$45,MATCH('Análisis Resultados'!C40,Hoja1!$H$2:$H$45,0)),"")</f>
        <v>Solamente hasta que un organismo de control actúa se definen acciones de mejora.</v>
      </c>
      <c r="F40" s="132" t="str">
        <f>+IFERROR(VLOOKUP(C40,Hoja1!$H$2:$I$45,2,0),"")</f>
        <v>Si</v>
      </c>
      <c r="G40" s="133" t="str">
        <f t="shared" si="0"/>
        <v>Existe requerimiento pero se requiere actividades  dirigidas a su mantenimiento dentro del marco de las lineas de defensa.</v>
      </c>
      <c r="H40" s="18"/>
      <c r="I40" s="143">
        <f t="shared" si="1"/>
        <v>1</v>
      </c>
      <c r="J40" s="267"/>
    </row>
    <row r="41" spans="1:10" ht="87.75" customHeight="1" x14ac:dyDescent="0.25">
      <c r="A41" s="1"/>
      <c r="B41" s="1"/>
      <c r="C41" s="139">
        <v>23</v>
      </c>
      <c r="D41" s="278" t="s">
        <v>79</v>
      </c>
      <c r="E41" s="122" t="str">
        <f>+IFERROR(INDEX(Hoja1!$E$2:$E$45,MATCH('Análisis Resultados'!C41,Hoja1!$H$2:$H$45,0)),"")</f>
        <v>La definición de acciones o actividades para para dar tratamiento a los problemas identificados (mitigación de riesgos), incluyendo aquellos asociados a posibles actos de corrupción</v>
      </c>
      <c r="F41" s="123" t="str">
        <f>+IFERROR(VLOOKUP(C41,Hoja1!$H$2:$I$45,2,0),"")</f>
        <v>Si</v>
      </c>
      <c r="G41" s="124" t="str">
        <f t="shared" si="0"/>
        <v>Existe requerimiento pero se requiere actividades  dirigidas a su mantenimiento dentro del marco de las lineas de defensa.</v>
      </c>
      <c r="H41" s="18"/>
      <c r="I41" s="140">
        <f t="shared" si="1"/>
        <v>1</v>
      </c>
      <c r="J41" s="266">
        <f>+AVERAGE(I41:I45)</f>
        <v>1</v>
      </c>
    </row>
    <row r="42" spans="1:10" ht="57" x14ac:dyDescent="0.25">
      <c r="A42" s="1"/>
      <c r="B42" s="1"/>
      <c r="C42" s="139">
        <v>24</v>
      </c>
      <c r="D42" s="279"/>
      <c r="E42" s="125" t="str">
        <f>+IFERROR(INDEX(Hoja1!$E$2:$E$45,MATCH('Análisis Resultados'!C42,Hoja1!$H$2:$H$45,0)),"")</f>
        <v>Mecanismos de verificación de si se están o no mitigando los riesgos, o en su defecto, elaboración de planes de contingencia para subsanar sus consecuencias</v>
      </c>
      <c r="F42" s="126" t="str">
        <f>+IFERROR(VLOOKUP(C42,Hoja1!$H$2:$I$45,2,0),"")</f>
        <v>Si</v>
      </c>
      <c r="G42" s="127" t="str">
        <f t="shared" si="0"/>
        <v>Existe requerimiento pero se requiere actividades  dirigidas a su mantenimiento dentro del marco de las lineas de defensa.</v>
      </c>
      <c r="H42" s="18"/>
      <c r="I42" s="141">
        <f t="shared" si="1"/>
        <v>1</v>
      </c>
      <c r="J42" s="267"/>
    </row>
    <row r="43" spans="1:10" ht="85.5" customHeight="1" x14ac:dyDescent="0.25">
      <c r="A43" s="1"/>
      <c r="B43" s="1"/>
      <c r="C43" s="139">
        <v>25</v>
      </c>
      <c r="D43" s="279"/>
      <c r="E43" s="125" t="str">
        <f>+IFERROR(INDEX(Hoja1!$E$2:$E$45,MATCH('Análisis Resultados'!C43,Hoja1!$H$2:$H$45,0)),"")</f>
        <v>Planes, acciones o estrategias que permitan subsanar las consecuencias de la materialización de los riesgos, cuando se presentan</v>
      </c>
      <c r="F43" s="126" t="str">
        <f>+IFERROR(VLOOKUP(C43,Hoja1!$H$2:$I$45,2,0),"")</f>
        <v>Si</v>
      </c>
      <c r="G43" s="127" t="str">
        <f t="shared" si="0"/>
        <v>Existe requerimiento pero se requiere actividades  dirigidas a su mantenimiento dentro del marco de las lineas de defensa.</v>
      </c>
      <c r="H43" s="18"/>
      <c r="I43" s="141">
        <f t="shared" si="1"/>
        <v>1</v>
      </c>
      <c r="J43" s="267"/>
    </row>
    <row r="44" spans="1:10" ht="57" customHeight="1" x14ac:dyDescent="0.25">
      <c r="A44" s="1"/>
      <c r="B44" s="1"/>
      <c r="C44" s="139">
        <v>26</v>
      </c>
      <c r="D44" s="279"/>
      <c r="E44" s="125"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6" t="str">
        <f>+IFERROR(VLOOKUP(C44,Hoja1!$H$2:$I$45,2,0),"")</f>
        <v>Si</v>
      </c>
      <c r="G44" s="127" t="str">
        <f t="shared" si="0"/>
        <v>Existe requerimiento pero se requiere actividades  dirigidas a su mantenimiento dentro del marco de las lineas de defensa.</v>
      </c>
      <c r="H44" s="18"/>
      <c r="I44" s="141">
        <f t="shared" si="1"/>
        <v>1</v>
      </c>
      <c r="J44" s="267"/>
    </row>
    <row r="45" spans="1:10" ht="57" customHeight="1" thickBot="1" x14ac:dyDescent="0.3">
      <c r="A45" s="1"/>
      <c r="B45" s="1"/>
      <c r="C45" s="139">
        <v>27</v>
      </c>
      <c r="D45" s="280"/>
      <c r="E45" s="128" t="str">
        <f>+IFERROR(INDEX(Hoja1!$E$2:$E$45,MATCH('Análisis Resultados'!C45,Hoja1!$H$2:$H$45,0)),"")</f>
        <v>Un plan anticorrupción y de servicio al ciudadano con los temas que le aplican, publicado en algún medio para conocimiento de la ciudadanía</v>
      </c>
      <c r="F45" s="129" t="str">
        <f>+IFERROR(VLOOKUP(C45,Hoja1!$H$2:$I$45,2,0),"")</f>
        <v>Si</v>
      </c>
      <c r="G45" s="130" t="str">
        <f t="shared" si="0"/>
        <v>Existe requerimiento pero se requiere actividades  dirigidas a su mantenimiento dentro del marco de las lineas de defensa.</v>
      </c>
      <c r="H45" s="18"/>
      <c r="I45" s="142">
        <f t="shared" si="1"/>
        <v>1</v>
      </c>
      <c r="J45" s="281"/>
    </row>
    <row r="46" spans="1:10" ht="63.75" customHeight="1" x14ac:dyDescent="0.25">
      <c r="A46" s="1"/>
      <c r="B46" s="1"/>
      <c r="C46" s="139">
        <v>28</v>
      </c>
      <c r="D46" s="277" t="s">
        <v>87</v>
      </c>
      <c r="E46" s="134" t="str">
        <f>+IFERROR(INDEX(Hoja1!$E$2:$E$45,MATCH('Análisis Resultados'!C46,Hoja1!$H$2:$H$45,0)),"")</f>
        <v>Responsables de la información institucional</v>
      </c>
      <c r="F46" s="135" t="str">
        <f>+IFERROR(VLOOKUP(C46,Hoja1!$H$2:$I$45,2,0),"")</f>
        <v>Si</v>
      </c>
      <c r="G46" s="136" t="str">
        <f t="shared" si="0"/>
        <v>Existe requerimiento pero se requiere actividades  dirigidas a su mantenimiento dentro del marco de las lineas de defensa.</v>
      </c>
      <c r="H46" s="18"/>
      <c r="I46" s="144">
        <f t="shared" si="1"/>
        <v>1</v>
      </c>
      <c r="J46" s="267">
        <f>+AVERAGE(I46:I52)</f>
        <v>1</v>
      </c>
    </row>
    <row r="47" spans="1:10" ht="92.25" customHeight="1" x14ac:dyDescent="0.25">
      <c r="A47" s="1"/>
      <c r="B47" s="1"/>
      <c r="C47" s="139">
        <v>29</v>
      </c>
      <c r="D47" s="277"/>
      <c r="E47" s="125" t="str">
        <f>+IFERROR(INDEX(Hoja1!$E$2:$E$45,MATCH('Análisis Resultados'!C47,Hoja1!$H$2:$H$45,0)),"")</f>
        <v>Canales de comunicación con los ciudadanos</v>
      </c>
      <c r="F47" s="126" t="str">
        <f>+IFERROR(VLOOKUP(C47,Hoja1!$H$2:$I$45,2,0),"")</f>
        <v>Si</v>
      </c>
      <c r="G47" s="137" t="str">
        <f t="shared" si="0"/>
        <v>Existe requerimiento pero se requiere actividades  dirigidas a su mantenimiento dentro del marco de las lineas de defensa.</v>
      </c>
      <c r="H47" s="18"/>
      <c r="I47" s="145">
        <f t="shared" si="1"/>
        <v>1</v>
      </c>
      <c r="J47" s="267"/>
    </row>
    <row r="48" spans="1:10" ht="66.75" customHeight="1" x14ac:dyDescent="0.25">
      <c r="A48" s="1"/>
      <c r="B48" s="1"/>
      <c r="C48" s="139">
        <v>30</v>
      </c>
      <c r="D48" s="277"/>
      <c r="E48" s="125" t="str">
        <f>+IFERROR(INDEX(Hoja1!$E$2:$E$45,MATCH('Análisis Resultados'!C48,Hoja1!$H$2:$H$45,0)),"")</f>
        <v>Canales de comunicación o mecanismos de reporte de información a otros organismos gubernamentales o de control</v>
      </c>
      <c r="F48" s="126" t="str">
        <f>+IFERROR(VLOOKUP(C48,Hoja1!$H$2:$I$45,2,0),"")</f>
        <v>Si</v>
      </c>
      <c r="G48" s="137" t="str">
        <f t="shared" si="0"/>
        <v>Existe requerimiento pero se requiere actividades  dirigidas a su mantenimiento dentro del marco de las lineas de defensa.</v>
      </c>
      <c r="H48" s="18"/>
      <c r="I48" s="145">
        <f t="shared" si="1"/>
        <v>1</v>
      </c>
      <c r="J48" s="267"/>
    </row>
    <row r="49" spans="1:10" ht="60" customHeight="1" x14ac:dyDescent="0.25">
      <c r="A49" s="1"/>
      <c r="B49" s="1"/>
      <c r="C49" s="139">
        <v>31</v>
      </c>
      <c r="D49" s="277"/>
      <c r="E49" s="125" t="str">
        <f>+IFERROR(INDEX(Hoja1!$E$2:$E$45,MATCH('Análisis Resultados'!C49,Hoja1!$H$2:$H$45,0)),"")</f>
        <v xml:space="preserve">Lineamientos para dar tratamiento a la información de carácter reservado </v>
      </c>
      <c r="F49" s="126" t="str">
        <f>+IFERROR(VLOOKUP(C49,Hoja1!$H$2:$I$45,2,0),"")</f>
        <v>Si</v>
      </c>
      <c r="G49" s="137" t="str">
        <f t="shared" si="0"/>
        <v>Existe requerimiento pero se requiere actividades  dirigidas a su mantenimiento dentro del marco de las lineas de defensa.</v>
      </c>
      <c r="H49" s="18"/>
      <c r="I49" s="145">
        <f t="shared" si="1"/>
        <v>1</v>
      </c>
      <c r="J49" s="267"/>
    </row>
    <row r="50" spans="1:10" ht="57" customHeight="1" x14ac:dyDescent="0.25">
      <c r="A50" s="1"/>
      <c r="B50" s="1"/>
      <c r="C50" s="139">
        <v>32</v>
      </c>
      <c r="D50" s="277"/>
      <c r="E50" s="125" t="str">
        <f>+IFERROR(INDEX(Hoja1!$E$2:$E$45,MATCH('Análisis Resultados'!C50,Hoja1!$H$2:$H$45,0)),"")</f>
        <v>Identificación de información que produce en el marco de su gestión (Para los ciudadanos, organismos de control, organismos gubernamentales, entre otros)</v>
      </c>
      <c r="F50" s="126" t="str">
        <f>+IFERROR(VLOOKUP(C50,Hoja1!$H$2:$I$45,2,0),"")</f>
        <v>Si</v>
      </c>
      <c r="G50" s="137" t="str">
        <f t="shared" si="0"/>
        <v>Existe requerimiento pero se requiere actividades  dirigidas a su mantenimiento dentro del marco de las lineas de defensa.</v>
      </c>
      <c r="H50" s="18"/>
      <c r="I50" s="145">
        <f t="shared" si="1"/>
        <v>1</v>
      </c>
      <c r="J50" s="267"/>
    </row>
    <row r="51" spans="1:10" ht="57" customHeight="1" x14ac:dyDescent="0.25">
      <c r="A51" s="1"/>
      <c r="B51" s="1"/>
      <c r="C51" s="139">
        <v>33</v>
      </c>
      <c r="D51" s="277"/>
      <c r="E51" s="125" t="str">
        <f>+IFERROR(INDEX(Hoja1!$E$2:$E$45,MATCH('Análisis Resultados'!C51,Hoja1!$H$2:$H$45,0)),"")</f>
        <v>Identificación de información necesaria para la operación de la entidad (normograma, presupuesto, talento humano, infraestructura física y tecnológica)</v>
      </c>
      <c r="F51" s="126" t="str">
        <f>+IFERROR(VLOOKUP(C51,Hoja1!$H$2:$I$45,2,0),"")</f>
        <v>Si</v>
      </c>
      <c r="G51" s="137" t="str">
        <f t="shared" si="0"/>
        <v>Existe requerimiento pero se requiere actividades  dirigidas a su mantenimiento dentro del marco de las lineas de defensa.</v>
      </c>
      <c r="H51" s="18"/>
      <c r="I51" s="145">
        <f t="shared" si="1"/>
        <v>1</v>
      </c>
      <c r="J51" s="267"/>
    </row>
    <row r="52" spans="1:10" ht="45.75" thickBot="1" x14ac:dyDescent="0.3">
      <c r="A52" s="1"/>
      <c r="B52" s="1"/>
      <c r="C52" s="139">
        <v>34</v>
      </c>
      <c r="D52" s="277"/>
      <c r="E52" s="131" t="str">
        <f>+IFERROR(INDEX(Hoja1!$E$2:$E$45,MATCH('Análisis Resultados'!C52,Hoja1!$H$2:$H$45,0)),"")</f>
        <v>Si su capacidad e infraestructura lo permite, tecnologías de la información y las comunicaciones que soporten estos procesos</v>
      </c>
      <c r="F52" s="132" t="str">
        <f>+IFERROR(VLOOKUP(C52,Hoja1!$H$2:$I$45,2,0),"")</f>
        <v>Si</v>
      </c>
      <c r="G52" s="138" t="str">
        <f t="shared" si="0"/>
        <v>Existe requerimiento pero se requiere actividades  dirigidas a su mantenimiento dentro del marco de las lineas de defensa.</v>
      </c>
      <c r="H52" s="18"/>
      <c r="I52" s="146">
        <f t="shared" si="1"/>
        <v>1</v>
      </c>
      <c r="J52" s="267"/>
    </row>
    <row r="53" spans="1:10" ht="41.25" customHeight="1" x14ac:dyDescent="0.25">
      <c r="A53" s="1"/>
      <c r="B53" s="1"/>
      <c r="C53" s="139">
        <v>35</v>
      </c>
      <c r="D53" s="271" t="s">
        <v>97</v>
      </c>
      <c r="E53" s="122" t="str">
        <f>+IFERROR(INDEX(Hoja1!$E$2:$E$45,MATCH('Análisis Resultados'!C53,Hoja1!$H$2:$H$45,0)),"")</f>
        <v>Evitar que los problemas (riesgos) obstaculicen el cumplimiento de los objetivos.</v>
      </c>
      <c r="F53" s="123" t="str">
        <f>+IFERROR(VLOOKUP(C53,Hoja1!$H$2:$I$45,2,0),"")</f>
        <v>No</v>
      </c>
      <c r="G53" s="124" t="str">
        <f t="shared" si="0"/>
        <v>No se encuentra el aspecto  por lo tanto la entidad debera generar acciones dirigidas a que se cumpla con el requerimiento.</v>
      </c>
      <c r="H53" s="18"/>
      <c r="I53" s="140">
        <f t="shared" si="1"/>
        <v>0</v>
      </c>
      <c r="J53" s="274">
        <f>+AVERAGE(I53:I62)</f>
        <v>0.9</v>
      </c>
    </row>
    <row r="54" spans="1:10" ht="58.5" customHeight="1" x14ac:dyDescent="0.25">
      <c r="A54" s="1"/>
      <c r="B54" s="1"/>
      <c r="C54" s="139">
        <v>36</v>
      </c>
      <c r="D54" s="272"/>
      <c r="E54" s="125" t="str">
        <f>+IFERROR(INDEX(Hoja1!$E$2:$E$45,MATCH('Análisis Resultados'!C54,Hoja1!$H$2:$H$45,0)),"")</f>
        <v>Mecanismos de evaluación de la gestión (cronogramas, indicadores, listas de chequeo u otros)</v>
      </c>
      <c r="F54" s="126" t="str">
        <f>+IFERROR(VLOOKUP(C54,Hoja1!$H$2:$I$45,2,0),"")</f>
        <v>Si</v>
      </c>
      <c r="G54" s="127" t="str">
        <f t="shared" si="0"/>
        <v>Existe requerimiento pero se requiere actividades  dirigidas a su mantenimiento dentro del marco de las lineas de defensa.</v>
      </c>
      <c r="H54" s="18"/>
      <c r="I54" s="141">
        <f t="shared" si="1"/>
        <v>1</v>
      </c>
      <c r="J54" s="275"/>
    </row>
    <row r="55" spans="1:10" s="1" customFormat="1" ht="84.75" customHeight="1" x14ac:dyDescent="0.25">
      <c r="C55" s="139">
        <v>37</v>
      </c>
      <c r="D55" s="272"/>
      <c r="E55" s="125" t="str">
        <f>+IFERROR(INDEX(Hoja1!$E$2:$E$45,MATCH('Análisis Resultados'!C55,Hoja1!$H$2:$H$45,0)),"")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5" s="126" t="str">
        <f>+IFERROR(VLOOKUP(C55,Hoja1!$H$2:$I$45,2,0),"")</f>
        <v>Si</v>
      </c>
      <c r="G55" s="127" t="str">
        <f t="shared" si="0"/>
        <v>Existe requerimiento pero se requiere actividades  dirigidas a su mantenimiento dentro del marco de las lineas de defensa.</v>
      </c>
      <c r="H55" s="6"/>
      <c r="I55" s="141">
        <f t="shared" si="1"/>
        <v>1</v>
      </c>
      <c r="J55" s="275"/>
    </row>
    <row r="56" spans="1:10" s="1" customFormat="1" ht="78.75" customHeight="1" x14ac:dyDescent="0.25">
      <c r="C56" s="139">
        <v>38</v>
      </c>
      <c r="D56" s="272"/>
      <c r="E56" s="125" t="str">
        <f>+IFERROR(INDEX(Hoja1!$E$2:$E$45,MATCH('Análisis Resultados'!C56,Hoja1!$H$2:$H$45,0)),"")</f>
        <v>Medidas correctivas en caso de detectarse deficiencias en los ejercicios de evaluación, seguimiento o auditoría</v>
      </c>
      <c r="F56" s="126" t="str">
        <f>+IFERROR(VLOOKUP(C56,Hoja1!$H$2:$I$45,2,0),"")</f>
        <v>Si</v>
      </c>
      <c r="G56" s="127" t="str">
        <f t="shared" si="0"/>
        <v>Existe requerimiento pero se requiere actividades  dirigidas a su mantenimiento dentro del marco de las lineas de defensa.</v>
      </c>
      <c r="H56" s="6"/>
      <c r="I56" s="141">
        <f t="shared" si="1"/>
        <v>1</v>
      </c>
      <c r="J56" s="275"/>
    </row>
    <row r="57" spans="1:10" s="1" customFormat="1" ht="54.75" customHeight="1" x14ac:dyDescent="0.25">
      <c r="C57" s="139">
        <v>39</v>
      </c>
      <c r="D57" s="272"/>
      <c r="E57" s="125" t="str">
        <f>+IFERROR(INDEX(Hoja1!$E$2:$E$45,MATCH('Análisis Resultados'!C57,Hoja1!$H$2:$H$45,0)),"")</f>
        <v>Seguimiento a los planes de mejoramiento suscritos con instancias de control internas o externas</v>
      </c>
      <c r="F57" s="126" t="str">
        <f>+IFERROR(VLOOKUP(C57,Hoja1!$H$2:$I$45,2,0),"")</f>
        <v>Si</v>
      </c>
      <c r="G57" s="127" t="str">
        <f t="shared" si="0"/>
        <v>Existe requerimiento pero se requiere actividades  dirigidas a su mantenimiento dentro del marco de las lineas de defensa.</v>
      </c>
      <c r="H57" s="6"/>
      <c r="I57" s="141">
        <f t="shared" si="1"/>
        <v>1</v>
      </c>
      <c r="J57" s="275"/>
    </row>
    <row r="58" spans="1:10" s="1" customFormat="1" ht="68.25" customHeight="1" x14ac:dyDescent="0.25">
      <c r="C58" s="139">
        <v>40</v>
      </c>
      <c r="D58" s="272"/>
      <c r="E58" s="125" t="str">
        <f>+IFERROR(INDEX(Hoja1!$E$2:$E$45,MATCH('Análisis Resultados'!C58,Hoja1!$H$2:$H$45,0)),"")</f>
        <v>La entidad participa en el  Comité Municipal de Auditoría?</v>
      </c>
      <c r="F58" s="126" t="str">
        <f>+IFERROR(VLOOKUP(C58,Hoja1!$H$2:$I$45,2,0),"")</f>
        <v>Si</v>
      </c>
      <c r="G58" s="127" t="str">
        <f t="shared" si="0"/>
        <v>Existe requerimiento pero se requiere actividades  dirigidas a su mantenimiento dentro del marco de las lineas de defensa.</v>
      </c>
      <c r="H58" s="6"/>
      <c r="I58" s="141">
        <f t="shared" si="1"/>
        <v>1</v>
      </c>
      <c r="J58" s="275"/>
    </row>
    <row r="59" spans="1:10" s="1" customFormat="1" ht="45" customHeight="1" x14ac:dyDescent="0.25">
      <c r="C59" s="139">
        <v>41</v>
      </c>
      <c r="D59" s="272"/>
      <c r="E59" s="125" t="str">
        <f>+IFERROR(INDEX(Hoja1!$E$2:$E$45,MATCH('Análisis Resultados'!C59,Hoja1!$H$2:$H$45,0)),"")</f>
        <v>Controlar los puntos críticos en los procesos.</v>
      </c>
      <c r="F59" s="126" t="str">
        <f>+IFERROR(VLOOKUP(C59,Hoja1!$H$2:$I$45,2,0),"")</f>
        <v>Si</v>
      </c>
      <c r="G59" s="127" t="str">
        <f t="shared" si="0"/>
        <v>Existe requerimiento pero se requiere actividades  dirigidas a su mantenimiento dentro del marco de las lineas de defensa.</v>
      </c>
      <c r="H59" s="6"/>
      <c r="I59" s="141">
        <f t="shared" si="1"/>
        <v>1</v>
      </c>
      <c r="J59" s="275"/>
    </row>
    <row r="60" spans="1:10" s="1" customFormat="1" ht="51.75" customHeight="1" x14ac:dyDescent="0.25">
      <c r="C60" s="139">
        <v>42</v>
      </c>
      <c r="D60" s="272"/>
      <c r="E60" s="125" t="str">
        <f>+IFERROR(INDEX(Hoja1!$E$2:$E$45,MATCH('Análisis Resultados'!C60,Hoja1!$H$2:$H$45,0)),"")</f>
        <v>Diseñar acciones adecuadas para controlar los problemas que afectan el cumplimiento de las metas y objetivos institucionales (riesgos).</v>
      </c>
      <c r="F60" s="126" t="str">
        <f>+IFERROR(VLOOKUP(C60,Hoja1!$H$2:$I$45,2,0),"")</f>
        <v>Si</v>
      </c>
      <c r="G60" s="127" t="str">
        <f t="shared" si="0"/>
        <v>Existe requerimiento pero se requiere actividades  dirigidas a su mantenimiento dentro del marco de las lineas de defensa.</v>
      </c>
      <c r="H60" s="6"/>
      <c r="I60" s="141">
        <f t="shared" si="1"/>
        <v>1</v>
      </c>
      <c r="J60" s="275"/>
    </row>
    <row r="61" spans="1:10" s="1" customFormat="1" ht="84" customHeight="1" x14ac:dyDescent="0.25">
      <c r="C61" s="139">
        <v>43</v>
      </c>
      <c r="D61" s="272"/>
      <c r="E61" s="125" t="str">
        <f>+IFERROR(INDEX(Hoja1!$E$2:$E$45,MATCH('Análisis Resultados'!C61,Hoja1!$H$2:$H$45,0)),"")</f>
        <v>Ejecutar las acciones de acuerdo a como se diseñaron previamente.</v>
      </c>
      <c r="F61" s="126" t="str">
        <f>+IFERROR(VLOOKUP(C61,Hoja1!$H$2:$I$45,2,0),"")</f>
        <v>Si</v>
      </c>
      <c r="G61" s="127" t="str">
        <f t="shared" si="0"/>
        <v>Existe requerimiento pero se requiere actividades  dirigidas a su mantenimiento dentro del marco de las lineas de defensa.</v>
      </c>
      <c r="H61" s="6"/>
      <c r="I61" s="141">
        <f t="shared" si="1"/>
        <v>1</v>
      </c>
      <c r="J61" s="275"/>
    </row>
    <row r="62" spans="1:10" s="1" customFormat="1" ht="60" customHeight="1" thickBot="1" x14ac:dyDescent="0.3">
      <c r="C62" s="139">
        <v>44</v>
      </c>
      <c r="D62" s="273"/>
      <c r="E62" s="128" t="str">
        <f>+IFERROR(INDEX(Hoja1!$E$2:$E$45,MATCH('Análisis Resultados'!C62,Hoja1!$H$2:$H$45,0)),"")</f>
        <v>No se gestionan los problemas que afectan el cumplimiento de las funciones y objetivos institucionales(riesgos).</v>
      </c>
      <c r="F62" s="129" t="str">
        <f>+IFERROR(VLOOKUP(C62,Hoja1!$H$2:$I$45,2,0),"")</f>
        <v>Si</v>
      </c>
      <c r="G62" s="130" t="str">
        <f t="shared" si="0"/>
        <v>Existe requerimiento pero se requiere actividades  dirigidas a su mantenimiento dentro del marco de las lineas de defensa.</v>
      </c>
      <c r="H62" s="6"/>
      <c r="I62" s="142">
        <f t="shared" si="1"/>
        <v>1</v>
      </c>
      <c r="J62" s="276"/>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16" zoomScale="64" zoomScaleNormal="64" workbookViewId="0">
      <selection activeCell="I12" sqref="I12"/>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4" t="s">
        <v>124</v>
      </c>
      <c r="F4" s="306" t="s">
        <v>239</v>
      </c>
      <c r="G4" s="306"/>
      <c r="H4" s="306"/>
      <c r="I4" s="306"/>
      <c r="J4" s="306"/>
      <c r="K4" s="306"/>
      <c r="L4" s="306"/>
      <c r="M4" s="306"/>
      <c r="N4" s="7"/>
      <c r="O4" s="7"/>
      <c r="P4" s="8"/>
      <c r="Q4" s="1"/>
    </row>
    <row r="5" spans="1:17" ht="45.75" customHeight="1" x14ac:dyDescent="0.3">
      <c r="A5" s="1"/>
      <c r="B5" s="5"/>
      <c r="C5" s="6"/>
      <c r="D5" s="6"/>
      <c r="E5" s="305"/>
      <c r="F5" s="306"/>
      <c r="G5" s="306"/>
      <c r="H5" s="306"/>
      <c r="I5" s="306"/>
      <c r="J5" s="306"/>
      <c r="K5" s="306"/>
      <c r="L5" s="306"/>
      <c r="M5" s="306"/>
      <c r="N5" s="7"/>
      <c r="O5" s="7"/>
      <c r="P5" s="8"/>
      <c r="Q5" s="1"/>
    </row>
    <row r="6" spans="1:17" ht="66.75" customHeight="1" x14ac:dyDescent="0.3">
      <c r="A6" s="1"/>
      <c r="B6" s="5"/>
      <c r="C6" s="6"/>
      <c r="D6" s="6"/>
      <c r="E6" s="96" t="s">
        <v>125</v>
      </c>
      <c r="F6" s="307" t="s">
        <v>240</v>
      </c>
      <c r="G6" s="308"/>
      <c r="H6" s="308"/>
      <c r="I6" s="308"/>
      <c r="J6" s="308"/>
      <c r="K6" s="308"/>
      <c r="L6" s="308"/>
      <c r="M6" s="309"/>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0" t="s">
        <v>126</v>
      </c>
      <c r="J8" s="311"/>
      <c r="K8" s="312"/>
      <c r="L8" s="6"/>
      <c r="M8" s="147">
        <f>+AVERAGE(G26,G28,G30,G32,G34)</f>
        <v>0.96333333333333326</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3" t="s">
        <v>127</v>
      </c>
      <c r="D18" s="314"/>
      <c r="E18" s="314"/>
      <c r="F18" s="314"/>
      <c r="G18" s="314"/>
      <c r="H18" s="314"/>
      <c r="I18" s="314"/>
      <c r="J18" s="314"/>
      <c r="K18" s="314"/>
      <c r="L18" s="314"/>
      <c r="M18" s="315"/>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6" t="s">
        <v>128</v>
      </c>
      <c r="D20" s="317"/>
      <c r="E20" s="150" t="s">
        <v>76</v>
      </c>
      <c r="F20" s="318" t="s">
        <v>225</v>
      </c>
      <c r="G20" s="318"/>
      <c r="H20" s="318"/>
      <c r="I20" s="318"/>
      <c r="J20" s="318"/>
      <c r="K20" s="318"/>
      <c r="L20" s="318"/>
      <c r="M20" s="319"/>
      <c r="N20" s="15"/>
      <c r="O20" s="15"/>
      <c r="P20" s="8"/>
      <c r="Q20" s="1"/>
    </row>
    <row r="21" spans="1:17" ht="126.75" customHeight="1" x14ac:dyDescent="0.25">
      <c r="A21" s="1"/>
      <c r="B21" s="5"/>
      <c r="C21" s="300" t="s">
        <v>129</v>
      </c>
      <c r="D21" s="301"/>
      <c r="E21" s="151" t="s">
        <v>39</v>
      </c>
      <c r="F21" s="320" t="s">
        <v>226</v>
      </c>
      <c r="G21" s="321"/>
      <c r="H21" s="321"/>
      <c r="I21" s="321"/>
      <c r="J21" s="321"/>
      <c r="K21" s="321"/>
      <c r="L21" s="321"/>
      <c r="M21" s="322"/>
      <c r="N21" s="15"/>
      <c r="O21" s="15"/>
      <c r="P21" s="8"/>
      <c r="Q21" s="1"/>
    </row>
    <row r="22" spans="1:17" ht="151.5" customHeight="1" thickBot="1" x14ac:dyDescent="0.3">
      <c r="A22" s="1"/>
      <c r="B22" s="5"/>
      <c r="C22" s="302" t="s">
        <v>130</v>
      </c>
      <c r="D22" s="303"/>
      <c r="E22" s="152" t="s">
        <v>39</v>
      </c>
      <c r="F22" s="323" t="s">
        <v>227</v>
      </c>
      <c r="G22" s="324"/>
      <c r="H22" s="324"/>
      <c r="I22" s="324"/>
      <c r="J22" s="324"/>
      <c r="K22" s="324"/>
      <c r="L22" s="324"/>
      <c r="M22" s="325"/>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31" t="s">
        <v>134</v>
      </c>
      <c r="J24" s="331"/>
      <c r="K24" s="331"/>
      <c r="L24" s="331"/>
      <c r="M24" s="331"/>
      <c r="N24" s="33"/>
      <c r="O24" s="33"/>
      <c r="P24" s="8"/>
      <c r="Q24" s="17"/>
    </row>
    <row r="25" spans="1:17" ht="13.5" customHeight="1" thickBot="1" x14ac:dyDescent="0.3">
      <c r="A25" s="1"/>
      <c r="B25" s="5"/>
      <c r="C25" s="32"/>
      <c r="D25" s="18"/>
      <c r="E25" s="18"/>
      <c r="F25" s="18"/>
      <c r="G25" s="18"/>
      <c r="H25" s="18"/>
      <c r="I25" s="336"/>
      <c r="J25" s="336"/>
      <c r="K25" s="336"/>
      <c r="L25" s="336"/>
      <c r="M25" s="336"/>
      <c r="N25" s="34"/>
      <c r="O25" s="34"/>
      <c r="P25" s="8"/>
      <c r="Q25" s="1"/>
    </row>
    <row r="26" spans="1:17" ht="155.25" customHeight="1" thickBot="1" x14ac:dyDescent="0.3">
      <c r="A26" s="1"/>
      <c r="B26" s="5"/>
      <c r="C26" s="90" t="s">
        <v>32</v>
      </c>
      <c r="D26" s="19"/>
      <c r="E26" s="148" t="str">
        <f>+IF(Hoja1!K2&gt;=0.5,"Si","No")</f>
        <v>Si</v>
      </c>
      <c r="F26" s="20"/>
      <c r="G26" s="149">
        <f>+Hoja1!K2</f>
        <v>0.91666666666666663</v>
      </c>
      <c r="H26" s="20"/>
      <c r="I26" s="332" t="s">
        <v>234</v>
      </c>
      <c r="J26" s="333"/>
      <c r="K26" s="333"/>
      <c r="L26" s="333"/>
      <c r="M26" s="334"/>
      <c r="N26" s="35"/>
      <c r="O26" s="36"/>
      <c r="P26" s="21"/>
      <c r="Q26" s="22"/>
    </row>
    <row r="27" spans="1:17" ht="27" thickBot="1" x14ac:dyDescent="0.45">
      <c r="A27" s="1"/>
      <c r="B27" s="5"/>
      <c r="C27" s="91"/>
      <c r="D27" s="23"/>
      <c r="E27" s="98"/>
      <c r="F27" s="18"/>
      <c r="G27" s="24"/>
      <c r="H27" s="18"/>
      <c r="I27" s="337"/>
      <c r="J27" s="337"/>
      <c r="K27" s="337"/>
      <c r="L27" s="337"/>
      <c r="M27" s="337"/>
      <c r="N27" s="37"/>
      <c r="O27" s="37"/>
      <c r="P27" s="8"/>
      <c r="Q27" s="1"/>
    </row>
    <row r="28" spans="1:17" ht="111.75" customHeight="1" thickBot="1" x14ac:dyDescent="0.3">
      <c r="A28" s="1"/>
      <c r="B28" s="5"/>
      <c r="C28" s="92" t="s">
        <v>135</v>
      </c>
      <c r="D28" s="19"/>
      <c r="E28" s="148" t="str">
        <f>+IF(Hoja1!K14&gt;=0.5,"Si","No")</f>
        <v>Si</v>
      </c>
      <c r="F28" s="18"/>
      <c r="G28" s="149">
        <f>+Hoja1!K14</f>
        <v>1</v>
      </c>
      <c r="H28" s="18"/>
      <c r="I28" s="335" t="s">
        <v>235</v>
      </c>
      <c r="J28" s="327"/>
      <c r="K28" s="327"/>
      <c r="L28" s="327"/>
      <c r="M28" s="328"/>
      <c r="N28" s="35"/>
      <c r="O28" s="35"/>
      <c r="P28" s="8"/>
      <c r="Q28" s="1"/>
    </row>
    <row r="29" spans="1:17" ht="27" thickBot="1" x14ac:dyDescent="0.45">
      <c r="A29" s="1"/>
      <c r="B29" s="5"/>
      <c r="C29" s="91"/>
      <c r="D29" s="23"/>
      <c r="E29" s="98"/>
      <c r="F29" s="18"/>
      <c r="G29" s="24"/>
      <c r="H29" s="18"/>
      <c r="I29" s="337"/>
      <c r="J29" s="337"/>
      <c r="K29" s="337"/>
      <c r="L29" s="337"/>
      <c r="M29" s="337"/>
      <c r="N29" s="37"/>
      <c r="O29" s="37"/>
      <c r="P29" s="8"/>
      <c r="Q29" s="1"/>
    </row>
    <row r="30" spans="1:17" ht="123" customHeight="1" thickBot="1" x14ac:dyDescent="0.3">
      <c r="A30" s="1"/>
      <c r="B30" s="5"/>
      <c r="C30" s="93" t="s">
        <v>136</v>
      </c>
      <c r="D30" s="19"/>
      <c r="E30" s="148" t="str">
        <f>+IF(Hoja1!K24&gt;=0.5,"Si","No")</f>
        <v>Si</v>
      </c>
      <c r="F30" s="18"/>
      <c r="G30" s="149">
        <f>+Hoja1!K24</f>
        <v>1</v>
      </c>
      <c r="H30" s="18"/>
      <c r="I30" s="326" t="s">
        <v>236</v>
      </c>
      <c r="J30" s="329"/>
      <c r="K30" s="329"/>
      <c r="L30" s="329"/>
      <c r="M30" s="330"/>
      <c r="N30" s="35"/>
      <c r="O30" s="35"/>
      <c r="P30" s="8"/>
      <c r="Q30" s="1"/>
    </row>
    <row r="31" spans="1:17" ht="27" thickBot="1" x14ac:dyDescent="0.45">
      <c r="A31" s="1"/>
      <c r="B31" s="5"/>
      <c r="C31" s="91"/>
      <c r="D31" s="23"/>
      <c r="E31" s="98"/>
      <c r="F31" s="18"/>
      <c r="G31" s="24"/>
      <c r="H31" s="18"/>
      <c r="I31" s="337"/>
      <c r="J31" s="337"/>
      <c r="K31" s="337"/>
      <c r="L31" s="337"/>
      <c r="M31" s="337"/>
      <c r="N31" s="37"/>
      <c r="O31" s="37"/>
      <c r="P31" s="8"/>
      <c r="Q31" s="1"/>
    </row>
    <row r="32" spans="1:17" ht="201.75" customHeight="1" thickBot="1" x14ac:dyDescent="0.3">
      <c r="A32" s="1"/>
      <c r="B32" s="5"/>
      <c r="C32" s="94" t="s">
        <v>87</v>
      </c>
      <c r="D32" s="19"/>
      <c r="E32" s="148" t="str">
        <f>+IF(Hoja1!K29&gt;=0.5,"Si","No")</f>
        <v>Si</v>
      </c>
      <c r="F32" s="18"/>
      <c r="G32" s="149">
        <f>+Hoja1!K29</f>
        <v>1</v>
      </c>
      <c r="H32" s="18"/>
      <c r="I32" s="326" t="s">
        <v>237</v>
      </c>
      <c r="J32" s="329"/>
      <c r="K32" s="329"/>
      <c r="L32" s="329"/>
      <c r="M32" s="330"/>
      <c r="N32" s="35"/>
      <c r="O32" s="35"/>
      <c r="P32" s="8"/>
      <c r="Q32" s="1"/>
    </row>
    <row r="33" spans="1:17" ht="27" thickBot="1" x14ac:dyDescent="0.45">
      <c r="A33" s="1"/>
      <c r="B33" s="5"/>
      <c r="C33" s="91"/>
      <c r="D33" s="23"/>
      <c r="E33" s="98"/>
      <c r="F33" s="18"/>
      <c r="G33" s="24"/>
      <c r="H33" s="18"/>
      <c r="I33" s="337"/>
      <c r="J33" s="337"/>
      <c r="K33" s="337"/>
      <c r="L33" s="337"/>
      <c r="M33" s="337"/>
      <c r="N33" s="37"/>
      <c r="O33" s="37"/>
      <c r="P33" s="8"/>
      <c r="Q33" s="1"/>
    </row>
    <row r="34" spans="1:17" ht="164.25" customHeight="1" thickBot="1" x14ac:dyDescent="0.3">
      <c r="A34" s="1"/>
      <c r="B34" s="5"/>
      <c r="C34" s="95" t="s">
        <v>137</v>
      </c>
      <c r="D34" s="19"/>
      <c r="E34" s="97" t="str">
        <f>+IF(Hoja1!K36&gt;=0.5,"Si","No")</f>
        <v>Si</v>
      </c>
      <c r="F34" s="18"/>
      <c r="G34" s="149">
        <f>+Hoja1!K36</f>
        <v>0.9</v>
      </c>
      <c r="H34" s="18"/>
      <c r="I34" s="326" t="s">
        <v>238</v>
      </c>
      <c r="J34" s="327"/>
      <c r="K34" s="327"/>
      <c r="L34" s="327"/>
      <c r="M34" s="328"/>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3" t="s">
        <v>25</v>
      </c>
      <c r="B1" s="153" t="s">
        <v>6</v>
      </c>
      <c r="C1" s="154" t="s">
        <v>8</v>
      </c>
      <c r="D1" s="155" t="s">
        <v>26</v>
      </c>
      <c r="E1" s="155" t="s">
        <v>27</v>
      </c>
      <c r="F1" s="155" t="s">
        <v>138</v>
      </c>
      <c r="G1" s="156" t="s">
        <v>139</v>
      </c>
      <c r="H1" s="156" t="s">
        <v>140</v>
      </c>
      <c r="I1" s="156" t="s">
        <v>119</v>
      </c>
      <c r="J1" s="156" t="s">
        <v>141</v>
      </c>
      <c r="K1" s="156" t="s">
        <v>142</v>
      </c>
    </row>
    <row r="2" spans="1:11" x14ac:dyDescent="0.25">
      <c r="A2" s="157" t="s">
        <v>143</v>
      </c>
      <c r="B2" s="157" t="str">
        <f>+VLOOKUP(A2,'Estado SCI'!$A$16:$C$59,3,0)</f>
        <v>AMBIENTE DE CONTROL</v>
      </c>
      <c r="C2" s="157" t="s">
        <v>33</v>
      </c>
      <c r="D2" s="157" t="s">
        <v>34</v>
      </c>
      <c r="E2" s="157" t="s">
        <v>35</v>
      </c>
      <c r="F2" s="157" t="str">
        <f>+VLOOKUP(A2,'Estado SCI'!$A$16:$I$59,9,0)</f>
        <v>Mantenimiento del control</v>
      </c>
      <c r="G2" s="157">
        <f>+VLOOKUP(A2,'Estado SCI'!$A$16:$L$59,12,0)</f>
        <v>20.123000000000001</v>
      </c>
      <c r="H2" s="157">
        <f t="shared" ref="H2:H45" si="0">+_xlfn.RANK.EQ(G2,$G$2:$G$45,1)</f>
        <v>2</v>
      </c>
      <c r="I2" s="157" t="str">
        <f>+IF(VLOOKUP(A2,'Estado SCI'!$A$16:$G$59,7,0)="","",VLOOKUP(A2,'Estado SCI'!$A$16:$G$59,7,0))</f>
        <v>Si</v>
      </c>
      <c r="J2" s="158">
        <f>+IF(I2="Si",1,IF(I2="En proceso",0.5,0))</f>
        <v>1</v>
      </c>
      <c r="K2" s="159">
        <f t="shared" ref="K2:K45" si="1">+AVERAGEIF($B$2:$B$45,B2,$J$2:$J$45)</f>
        <v>0.91666666666666663</v>
      </c>
    </row>
    <row r="3" spans="1:11" x14ac:dyDescent="0.25">
      <c r="A3" s="157" t="s">
        <v>144</v>
      </c>
      <c r="B3" s="157" t="s">
        <v>32</v>
      </c>
      <c r="C3" s="157" t="s">
        <v>33</v>
      </c>
      <c r="D3" s="157" t="s">
        <v>37</v>
      </c>
      <c r="E3" s="157" t="s">
        <v>38</v>
      </c>
      <c r="F3" s="157" t="str">
        <f>+VLOOKUP(A3,'Estado SCI'!$A$16:$I$59,9,0)</f>
        <v>Mantenimiento del control</v>
      </c>
      <c r="G3" s="157">
        <f>+VLOOKUP(A3,'Estado SCI'!$A$16:$L$59,12,0)</f>
        <v>20.1234</v>
      </c>
      <c r="H3" s="157">
        <f t="shared" si="0"/>
        <v>3</v>
      </c>
      <c r="I3" s="157" t="str">
        <f>+IF(VLOOKUP(A3,'Estado SCI'!$A$16:$G$59,7,0)="","",VLOOKUP(A3,'Estado SCI'!$A$16:$G$59,7,0))</f>
        <v>Si</v>
      </c>
      <c r="J3" s="158">
        <f t="shared" ref="J3:J45" si="2">+IF(I3="Si",1,IF(I3="En proceso",0.5,0))</f>
        <v>1</v>
      </c>
      <c r="K3" s="159">
        <f t="shared" si="1"/>
        <v>0.91666666666666663</v>
      </c>
    </row>
    <row r="4" spans="1:11" x14ac:dyDescent="0.25">
      <c r="A4" s="157" t="s">
        <v>145</v>
      </c>
      <c r="B4" s="157" t="s">
        <v>32</v>
      </c>
      <c r="C4" s="157" t="s">
        <v>33</v>
      </c>
      <c r="D4" s="157" t="s">
        <v>40</v>
      </c>
      <c r="E4" s="157" t="s">
        <v>41</v>
      </c>
      <c r="F4" s="157" t="str">
        <f>+VLOOKUP(A4,'Estado SCI'!$A$16:$I$59,9,0)</f>
        <v>Mantenimiento del control</v>
      </c>
      <c r="G4" s="157">
        <f>+VLOOKUP(A4,'Estado SCI'!$A$16:$L$59,12,0)</f>
        <v>20.123449999999998</v>
      </c>
      <c r="H4" s="157">
        <f t="shared" si="0"/>
        <v>4</v>
      </c>
      <c r="I4" s="157" t="str">
        <f>+IF(VLOOKUP(A4,'Estado SCI'!$A$16:$G$59,7,0)="","",VLOOKUP(A4,'Estado SCI'!$A$16:$G$59,7,0))</f>
        <v>Si</v>
      </c>
      <c r="J4" s="158">
        <f t="shared" si="2"/>
        <v>1</v>
      </c>
      <c r="K4" s="159">
        <f t="shared" si="1"/>
        <v>0.91666666666666663</v>
      </c>
    </row>
    <row r="5" spans="1:11" x14ac:dyDescent="0.25">
      <c r="A5" s="157" t="s">
        <v>146</v>
      </c>
      <c r="B5" s="157" t="s">
        <v>32</v>
      </c>
      <c r="C5" s="157" t="s">
        <v>33</v>
      </c>
      <c r="D5" s="157" t="s">
        <v>42</v>
      </c>
      <c r="E5" s="157" t="s">
        <v>43</v>
      </c>
      <c r="F5" s="157" t="str">
        <f>+VLOOKUP(A5,'Estado SCI'!$A$16:$I$59,9,0)</f>
        <v>Mantenimiento del control</v>
      </c>
      <c r="G5" s="157">
        <f>+VLOOKUP(A5,'Estado SCI'!$A$16:$L$59,12,0)</f>
        <v>20.123456000000001</v>
      </c>
      <c r="H5" s="157">
        <f t="shared" si="0"/>
        <v>5</v>
      </c>
      <c r="I5" s="157" t="str">
        <f>+IF(VLOOKUP(A5,'Estado SCI'!$A$16:$G$59,7,0)="","",VLOOKUP(A5,'Estado SCI'!$A$16:$G$59,7,0))</f>
        <v>Si</v>
      </c>
      <c r="J5" s="158">
        <f t="shared" si="2"/>
        <v>1</v>
      </c>
      <c r="K5" s="159">
        <f t="shared" si="1"/>
        <v>0.91666666666666663</v>
      </c>
    </row>
    <row r="6" spans="1:11" x14ac:dyDescent="0.25">
      <c r="A6" s="157" t="s">
        <v>147</v>
      </c>
      <c r="B6" s="157" t="s">
        <v>32</v>
      </c>
      <c r="C6" s="157" t="s">
        <v>33</v>
      </c>
      <c r="D6" s="157" t="s">
        <v>44</v>
      </c>
      <c r="E6" s="157" t="s">
        <v>45</v>
      </c>
      <c r="F6" s="157" t="str">
        <f>+VLOOKUP(A6,'Estado SCI'!$A$16:$I$59,9,0)</f>
        <v>Mantenimiento del control</v>
      </c>
      <c r="G6" s="157">
        <f>+VLOOKUP(A6,'Estado SCI'!$A$16:$L$59,12,0)</f>
        <v>20.123456780000001</v>
      </c>
      <c r="H6" s="157">
        <f t="shared" si="0"/>
        <v>6</v>
      </c>
      <c r="I6" s="157" t="str">
        <f>+IF(VLOOKUP(A6,'Estado SCI'!$A$16:$G$59,7,0)="","",VLOOKUP(A6,'Estado SCI'!$A$16:$G$59,7,0))</f>
        <v>Si</v>
      </c>
      <c r="J6" s="158">
        <f t="shared" si="2"/>
        <v>1</v>
      </c>
      <c r="K6" s="159">
        <f t="shared" si="1"/>
        <v>0.91666666666666663</v>
      </c>
    </row>
    <row r="7" spans="1:11" x14ac:dyDescent="0.25">
      <c r="A7" s="157" t="s">
        <v>148</v>
      </c>
      <c r="B7" s="157" t="s">
        <v>32</v>
      </c>
      <c r="C7" s="157" t="s">
        <v>33</v>
      </c>
      <c r="D7" s="157" t="s">
        <v>46</v>
      </c>
      <c r="E7" s="157" t="s">
        <v>47</v>
      </c>
      <c r="F7" s="157" t="str">
        <f>+VLOOKUP(A7,'Estado SCI'!$A$16:$I$59,9,0)</f>
        <v>Mantenimiento del control</v>
      </c>
      <c r="G7" s="157">
        <f>+VLOOKUP(A7,'Estado SCI'!$A$16:$L$59,12,0)</f>
        <v>20.123456788999999</v>
      </c>
      <c r="H7" s="157">
        <f t="shared" si="0"/>
        <v>7</v>
      </c>
      <c r="I7" s="157" t="str">
        <f>+IF(VLOOKUP(A7,'Estado SCI'!$A$16:$G$59,7,0)="","",VLOOKUP(A7,'Estado SCI'!$A$16:$G$59,7,0))</f>
        <v>Si</v>
      </c>
      <c r="J7" s="158">
        <f t="shared" si="2"/>
        <v>1</v>
      </c>
      <c r="K7" s="159">
        <f t="shared" si="1"/>
        <v>0.91666666666666663</v>
      </c>
    </row>
    <row r="8" spans="1:11" x14ac:dyDescent="0.25">
      <c r="A8" s="157" t="s">
        <v>149</v>
      </c>
      <c r="B8" s="157" t="s">
        <v>32</v>
      </c>
      <c r="C8" s="157" t="s">
        <v>33</v>
      </c>
      <c r="D8" s="157" t="s">
        <v>48</v>
      </c>
      <c r="E8" s="157" t="s">
        <v>49</v>
      </c>
      <c r="F8" s="157" t="str">
        <f>+VLOOKUP(A8,'Estado SCI'!$A$16:$I$59,9,0)</f>
        <v>Mantenimiento del control</v>
      </c>
      <c r="G8" s="157">
        <f>+VLOOKUP(A8,'Estado SCI'!$A$16:$L$59,12,0)</f>
        <v>20.1234567891</v>
      </c>
      <c r="H8" s="157">
        <f t="shared" si="0"/>
        <v>8</v>
      </c>
      <c r="I8" s="157" t="str">
        <f>+IF(VLOOKUP(A8,'Estado SCI'!$A$16:$G$59,7,0)="","",VLOOKUP(A8,'Estado SCI'!$A$16:$G$59,7,0))</f>
        <v>Si</v>
      </c>
      <c r="J8" s="158">
        <f t="shared" si="2"/>
        <v>1</v>
      </c>
      <c r="K8" s="159">
        <f t="shared" si="1"/>
        <v>0.91666666666666663</v>
      </c>
    </row>
    <row r="9" spans="1:11" x14ac:dyDescent="0.25">
      <c r="A9" s="157" t="s">
        <v>150</v>
      </c>
      <c r="B9" s="157" t="s">
        <v>32</v>
      </c>
      <c r="C9" s="157" t="s">
        <v>33</v>
      </c>
      <c r="D9" s="157" t="s">
        <v>50</v>
      </c>
      <c r="E9" s="157" t="s">
        <v>51</v>
      </c>
      <c r="F9" s="157" t="str">
        <f>+VLOOKUP(A9,'Estado SCI'!$A$16:$I$59,9,0)</f>
        <v>Mantenimiento del control</v>
      </c>
      <c r="G9" s="157">
        <f>+VLOOKUP(A9,'Estado SCI'!$A$16:$L$59,12,0)</f>
        <v>20.123456789119999</v>
      </c>
      <c r="H9" s="157">
        <f t="shared" si="0"/>
        <v>9</v>
      </c>
      <c r="I9" s="157" t="str">
        <f>+IF(VLOOKUP(A9,'Estado SCI'!$A$16:$G$59,7,0)="","",VLOOKUP(A9,'Estado SCI'!$A$16:$G$59,7,0))</f>
        <v>Si</v>
      </c>
      <c r="J9" s="158">
        <f t="shared" si="2"/>
        <v>1</v>
      </c>
      <c r="K9" s="159">
        <f t="shared" si="1"/>
        <v>0.91666666666666663</v>
      </c>
    </row>
    <row r="10" spans="1:11" x14ac:dyDescent="0.25">
      <c r="A10" s="157" t="s">
        <v>151</v>
      </c>
      <c r="B10" s="157" t="s">
        <v>32</v>
      </c>
      <c r="C10" s="157" t="s">
        <v>33</v>
      </c>
      <c r="D10" s="157" t="s">
        <v>52</v>
      </c>
      <c r="E10" s="157" t="s">
        <v>53</v>
      </c>
      <c r="F10" s="157" t="str">
        <f>+VLOOKUP(A10,'Estado SCI'!$A$16:$I$59,9,0)</f>
        <v>Deficiencia de control</v>
      </c>
      <c r="G10" s="157">
        <f>+VLOOKUP(A10,'Estado SCI'!$A$16:$L$59,12,0)</f>
        <v>0.123456789123</v>
      </c>
      <c r="H10" s="157">
        <f t="shared" si="0"/>
        <v>1</v>
      </c>
      <c r="I10" s="157" t="str">
        <f>+IF(VLOOKUP(A10,'Estado SCI'!$A$16:$G$59,7,0)="","",VLOOKUP(A10,'Estado SCI'!$A$16:$G$59,7,0))</f>
        <v>No</v>
      </c>
      <c r="J10" s="158">
        <f t="shared" si="2"/>
        <v>0</v>
      </c>
      <c r="K10" s="159">
        <f t="shared" si="1"/>
        <v>0.91666666666666663</v>
      </c>
    </row>
    <row r="11" spans="1:11" x14ac:dyDescent="0.25">
      <c r="A11" s="157" t="s">
        <v>152</v>
      </c>
      <c r="B11" s="157" t="s">
        <v>32</v>
      </c>
      <c r="C11" s="157" t="s">
        <v>33</v>
      </c>
      <c r="D11" s="157" t="s">
        <v>54</v>
      </c>
      <c r="E11" s="157" t="s">
        <v>55</v>
      </c>
      <c r="F11" s="157" t="str">
        <f>+VLOOKUP(A11,'Estado SCI'!$A$16:$I$59,9,0)</f>
        <v>Mantenimiento del control</v>
      </c>
      <c r="G11" s="157">
        <f>+VLOOKUP(A11,'Estado SCI'!$A$16:$L$59,12,0)</f>
        <v>20.123456789123399</v>
      </c>
      <c r="H11" s="157">
        <f t="shared" si="0"/>
        <v>10</v>
      </c>
      <c r="I11" s="157" t="str">
        <f>+IF(VLOOKUP(A11,'Estado SCI'!$A$16:$G$59,7,0)="","",VLOOKUP(A11,'Estado SCI'!$A$16:$G$59,7,0))</f>
        <v>Si</v>
      </c>
      <c r="J11" s="158">
        <f t="shared" si="2"/>
        <v>1</v>
      </c>
      <c r="K11" s="159">
        <f t="shared" si="1"/>
        <v>0.91666666666666663</v>
      </c>
    </row>
    <row r="12" spans="1:11" x14ac:dyDescent="0.25">
      <c r="A12" s="157" t="s">
        <v>153</v>
      </c>
      <c r="B12" s="157" t="s">
        <v>32</v>
      </c>
      <c r="C12" s="157" t="s">
        <v>33</v>
      </c>
      <c r="D12" s="157" t="s">
        <v>56</v>
      </c>
      <c r="E12" s="157" t="s">
        <v>57</v>
      </c>
      <c r="F12" s="157" t="str">
        <f>+VLOOKUP(A12,'Estado SCI'!$A$16:$I$59,9,0)</f>
        <v>Mantenimiento del control</v>
      </c>
      <c r="G12" s="157">
        <f>+VLOOKUP(A12,'Estado SCI'!$A$16:$L$59,12,0)</f>
        <v>20.123456789123448</v>
      </c>
      <c r="H12" s="157">
        <f t="shared" si="0"/>
        <v>11</v>
      </c>
      <c r="I12" s="157" t="str">
        <f>+IF(VLOOKUP(A12,'Estado SCI'!$A$16:$G$59,7,0)="","",VLOOKUP(A12,'Estado SCI'!$A$16:$G$59,7,0))</f>
        <v>Si</v>
      </c>
      <c r="J12" s="158">
        <f t="shared" si="2"/>
        <v>1</v>
      </c>
      <c r="K12" s="159">
        <f t="shared" si="1"/>
        <v>0.91666666666666663</v>
      </c>
    </row>
    <row r="13" spans="1:11" x14ac:dyDescent="0.25">
      <c r="A13" s="157" t="s">
        <v>154</v>
      </c>
      <c r="B13" s="157" t="s">
        <v>32</v>
      </c>
      <c r="C13" s="157" t="s">
        <v>33</v>
      </c>
      <c r="D13" s="157" t="s">
        <v>58</v>
      </c>
      <c r="E13" s="157" t="s">
        <v>59</v>
      </c>
      <c r="F13" s="157" t="str">
        <f>+VLOOKUP(A13,'Estado SCI'!$A$16:$I$59,9,0)</f>
        <v>Mantenimiento del control</v>
      </c>
      <c r="G13" s="157">
        <f>+VLOOKUP(A13,'Estado SCI'!$A$16:$L$59,12,0)</f>
        <v>20.123456789123455</v>
      </c>
      <c r="H13" s="157">
        <f t="shared" si="0"/>
        <v>12</v>
      </c>
      <c r="I13" s="157" t="str">
        <f>+IF(VLOOKUP(A13,'Estado SCI'!$A$16:$G$59,7,0)="","",VLOOKUP(A13,'Estado SCI'!$A$16:$G$59,7,0))</f>
        <v>Si</v>
      </c>
      <c r="J13" s="158">
        <f t="shared" si="2"/>
        <v>1</v>
      </c>
      <c r="K13" s="159">
        <f t="shared" si="1"/>
        <v>0.91666666666666663</v>
      </c>
    </row>
    <row r="14" spans="1:11" ht="15" customHeight="1" x14ac:dyDescent="0.25">
      <c r="A14" s="157" t="s">
        <v>155</v>
      </c>
      <c r="B14" s="157" t="str">
        <f>+VLOOKUP(A14,'Estado SCI'!$A$16:$C$59,3,0)</f>
        <v>EVALUACION DEL RIESGO</v>
      </c>
      <c r="C14" s="157" t="s">
        <v>62</v>
      </c>
      <c r="D14" s="157" t="s">
        <v>34</v>
      </c>
      <c r="E14" s="157" t="s">
        <v>156</v>
      </c>
      <c r="F14" s="157" t="str">
        <f>+VLOOKUP(A14,'Estado SCI'!$A$16:$I$59,9,0)</f>
        <v>Mantenimiento del control</v>
      </c>
      <c r="G14" s="157">
        <f>+VLOOKUP(A14,'Estado SCI'!$A$16:$L$59,12,0)</f>
        <v>40.229999999999997</v>
      </c>
      <c r="H14" s="157">
        <f t="shared" si="0"/>
        <v>13</v>
      </c>
      <c r="I14" s="157" t="str">
        <f>+IF(VLOOKUP(A14,'Estado SCI'!$A$16:$G$59,7,0)="","",VLOOKUP(A14,'Estado SCI'!$A$16:$G$59,7,0))</f>
        <v>Si</v>
      </c>
      <c r="J14" s="158">
        <f t="shared" si="2"/>
        <v>1</v>
      </c>
      <c r="K14" s="159">
        <f t="shared" si="1"/>
        <v>1</v>
      </c>
    </row>
    <row r="15" spans="1:11" ht="15" customHeight="1" x14ac:dyDescent="0.25">
      <c r="A15" s="157" t="s">
        <v>157</v>
      </c>
      <c r="B15" s="157" t="s">
        <v>61</v>
      </c>
      <c r="C15" s="157" t="s">
        <v>62</v>
      </c>
      <c r="D15" s="157" t="s">
        <v>37</v>
      </c>
      <c r="E15" s="157" t="s">
        <v>158</v>
      </c>
      <c r="F15" s="157" t="str">
        <f>+VLOOKUP(A15,'Estado SCI'!$A$16:$I$59,9,0)</f>
        <v>Mantenimiento del control</v>
      </c>
      <c r="G15" s="157">
        <f>+VLOOKUP(A15,'Estado SCI'!$A$16:$L$59,12,0)</f>
        <v>40.234000000000002</v>
      </c>
      <c r="H15" s="157">
        <f t="shared" si="0"/>
        <v>14</v>
      </c>
      <c r="I15" s="157" t="str">
        <f>+IF(VLOOKUP(A15,'Estado SCI'!$A$16:$G$59,7,0)="","",VLOOKUP(A15,'Estado SCI'!$A$16:$G$59,7,0))</f>
        <v>Si</v>
      </c>
      <c r="J15" s="158">
        <f t="shared" si="2"/>
        <v>1</v>
      </c>
      <c r="K15" s="159">
        <f t="shared" si="1"/>
        <v>1</v>
      </c>
    </row>
    <row r="16" spans="1:11" ht="15" customHeight="1" x14ac:dyDescent="0.25">
      <c r="A16" s="157" t="s">
        <v>159</v>
      </c>
      <c r="B16" s="157" t="s">
        <v>61</v>
      </c>
      <c r="C16" s="157" t="s">
        <v>62</v>
      </c>
      <c r="D16" s="157" t="s">
        <v>40</v>
      </c>
      <c r="E16" s="157" t="s">
        <v>160</v>
      </c>
      <c r="F16" s="157" t="str">
        <f>+VLOOKUP(A16,'Estado SCI'!$A$16:$I$59,9,0)</f>
        <v>Mantenimiento del control</v>
      </c>
      <c r="G16" s="157">
        <f>+VLOOKUP(A16,'Estado SCI'!$A$16:$L$59,12,0)</f>
        <v>40.234499999999997</v>
      </c>
      <c r="H16" s="157">
        <f t="shared" si="0"/>
        <v>15</v>
      </c>
      <c r="I16" s="157" t="str">
        <f>+IF(VLOOKUP(A16,'Estado SCI'!$A$16:$G$59,7,0)="","",VLOOKUP(A16,'Estado SCI'!$A$16:$G$59,7,0))</f>
        <v>Si</v>
      </c>
      <c r="J16" s="158">
        <f t="shared" si="2"/>
        <v>1</v>
      </c>
      <c r="K16" s="159">
        <f t="shared" si="1"/>
        <v>1</v>
      </c>
    </row>
    <row r="17" spans="1:11" ht="15.75" customHeight="1" x14ac:dyDescent="0.25">
      <c r="A17" s="157" t="s">
        <v>161</v>
      </c>
      <c r="B17" s="157" t="s">
        <v>61</v>
      </c>
      <c r="C17" s="157" t="s">
        <v>62</v>
      </c>
      <c r="D17" s="157" t="s">
        <v>42</v>
      </c>
      <c r="E17" s="157" t="s">
        <v>66</v>
      </c>
      <c r="F17" s="157" t="str">
        <f>+VLOOKUP(A17,'Estado SCI'!$A$16:$I$59,9,0)</f>
        <v>Mantenimiento del control</v>
      </c>
      <c r="G17" s="157">
        <f>+VLOOKUP(A17,'Estado SCI'!$A$16:$L$59,12,0)</f>
        <v>40.234560000000002</v>
      </c>
      <c r="H17" s="157">
        <f t="shared" si="0"/>
        <v>16</v>
      </c>
      <c r="I17" s="157" t="str">
        <f>+IF(VLOOKUP(A17,'Estado SCI'!$A$16:$G$59,7,0)="","",VLOOKUP(A17,'Estado SCI'!$A$16:$G$59,7,0))</f>
        <v>Si</v>
      </c>
      <c r="J17" s="158">
        <f t="shared" si="2"/>
        <v>1</v>
      </c>
      <c r="K17" s="159">
        <f t="shared" si="1"/>
        <v>1</v>
      </c>
    </row>
    <row r="18" spans="1:11" ht="15" customHeight="1" x14ac:dyDescent="0.25">
      <c r="A18" s="157" t="s">
        <v>162</v>
      </c>
      <c r="B18" s="157" t="s">
        <v>61</v>
      </c>
      <c r="C18" s="157" t="s">
        <v>80</v>
      </c>
      <c r="D18" s="157" t="s">
        <v>34</v>
      </c>
      <c r="E18" s="157" t="s">
        <v>69</v>
      </c>
      <c r="F18" s="157" t="str">
        <f>+VLOOKUP(A18,'Estado SCI'!$A$16:$I$59,9,0)</f>
        <v>Mantenimiento del control</v>
      </c>
      <c r="G18" s="157">
        <f>+VLOOKUP(A18,'Estado SCI'!$A$16:$L$59,12,0)</f>
        <v>40.234566999999998</v>
      </c>
      <c r="H18" s="157">
        <f t="shared" si="0"/>
        <v>17</v>
      </c>
      <c r="I18" s="157" t="str">
        <f>+IF(VLOOKUP(A18,'Estado SCI'!$A$16:$G$59,7,0)="","",VLOOKUP(A18,'Estado SCI'!$A$16:$G$59,7,0))</f>
        <v>Si</v>
      </c>
      <c r="J18" s="158">
        <f t="shared" si="2"/>
        <v>1</v>
      </c>
      <c r="K18" s="159">
        <f t="shared" si="1"/>
        <v>1</v>
      </c>
    </row>
    <row r="19" spans="1:11" ht="15" customHeight="1" x14ac:dyDescent="0.25">
      <c r="A19" s="157" t="s">
        <v>163</v>
      </c>
      <c r="B19" s="157" t="s">
        <v>61</v>
      </c>
      <c r="C19" s="157" t="s">
        <v>80</v>
      </c>
      <c r="D19" s="157" t="s">
        <v>37</v>
      </c>
      <c r="E19" s="157" t="s">
        <v>70</v>
      </c>
      <c r="F19" s="157" t="str">
        <f>+VLOOKUP(A19,'Estado SCI'!$A$16:$I$59,9,0)</f>
        <v>Mantenimiento del control</v>
      </c>
      <c r="G19" s="157">
        <f>+VLOOKUP(A19,'Estado SCI'!$A$16:$L$59,12,0)</f>
        <v>40.234567800000001</v>
      </c>
      <c r="H19" s="157">
        <f t="shared" si="0"/>
        <v>18</v>
      </c>
      <c r="I19" s="157" t="str">
        <f>+IF(VLOOKUP(A19,'Estado SCI'!$A$16:$G$59,7,0)="","",VLOOKUP(A19,'Estado SCI'!$A$16:$G$59,7,0))</f>
        <v>Si</v>
      </c>
      <c r="J19" s="158">
        <f t="shared" si="2"/>
        <v>1</v>
      </c>
      <c r="K19" s="159">
        <f t="shared" si="1"/>
        <v>1</v>
      </c>
    </row>
    <row r="20" spans="1:11" ht="15" customHeight="1" x14ac:dyDescent="0.25">
      <c r="A20" s="157" t="s">
        <v>164</v>
      </c>
      <c r="B20" s="157" t="s">
        <v>61</v>
      </c>
      <c r="C20" s="157" t="s">
        <v>80</v>
      </c>
      <c r="D20" s="157" t="s">
        <v>40</v>
      </c>
      <c r="E20" s="157" t="s">
        <v>71</v>
      </c>
      <c r="F20" s="157" t="str">
        <f>+VLOOKUP(A20,'Estado SCI'!$A$16:$I$59,9,0)</f>
        <v>Mantenimiento del control</v>
      </c>
      <c r="G20" s="157">
        <f>+VLOOKUP(A20,'Estado SCI'!$A$16:$L$59,12,0)</f>
        <v>40.234567890000001</v>
      </c>
      <c r="H20" s="157">
        <f t="shared" si="0"/>
        <v>19</v>
      </c>
      <c r="I20" s="157" t="str">
        <f>+IF(VLOOKUP(A20,'Estado SCI'!$A$16:$G$59,7,0)="","",VLOOKUP(A20,'Estado SCI'!$A$16:$G$59,7,0))</f>
        <v>Si</v>
      </c>
      <c r="J20" s="158">
        <f t="shared" si="2"/>
        <v>1</v>
      </c>
      <c r="K20" s="159">
        <f t="shared" si="1"/>
        <v>1</v>
      </c>
    </row>
    <row r="21" spans="1:11" ht="15.75" customHeight="1" x14ac:dyDescent="0.25">
      <c r="A21" s="157" t="s">
        <v>165</v>
      </c>
      <c r="B21" s="157" t="s">
        <v>61</v>
      </c>
      <c r="C21" s="157" t="s">
        <v>80</v>
      </c>
      <c r="D21" s="157" t="s">
        <v>34</v>
      </c>
      <c r="E21" s="157" t="s">
        <v>74</v>
      </c>
      <c r="F21" s="157" t="str">
        <f>+VLOOKUP(A21,'Estado SCI'!$A$16:$I$59,9,0)</f>
        <v>Mantenimiento del control</v>
      </c>
      <c r="G21" s="157">
        <f>+VLOOKUP(A21,'Estado SCI'!$A$16:$L$59,12,0)</f>
        <v>40.234567891200001</v>
      </c>
      <c r="H21" s="157">
        <f t="shared" si="0"/>
        <v>20</v>
      </c>
      <c r="I21" s="157" t="str">
        <f>+IF(VLOOKUP(A21,'Estado SCI'!$A$16:$G$59,7,0)="","",VLOOKUP(A21,'Estado SCI'!$A$16:$G$59,7,0))</f>
        <v>Si</v>
      </c>
      <c r="J21" s="158">
        <f t="shared" si="2"/>
        <v>1</v>
      </c>
      <c r="K21" s="159">
        <f t="shared" si="1"/>
        <v>1</v>
      </c>
    </row>
    <row r="22" spans="1:11" ht="15" customHeight="1" x14ac:dyDescent="0.25">
      <c r="A22" s="157" t="s">
        <v>166</v>
      </c>
      <c r="B22" s="157" t="s">
        <v>61</v>
      </c>
      <c r="C22" s="157" t="s">
        <v>88</v>
      </c>
      <c r="D22" s="157" t="s">
        <v>37</v>
      </c>
      <c r="E22" s="157" t="s">
        <v>75</v>
      </c>
      <c r="F22" s="157" t="str">
        <f>+VLOOKUP(A22,'Estado SCI'!$A$16:$I$59,9,0)</f>
        <v>Mantenimiento del control</v>
      </c>
      <c r="G22" s="157">
        <f>+VLOOKUP(A22,'Estado SCI'!$A$16:$L$59,12,0)</f>
        <v>40.23456789123</v>
      </c>
      <c r="H22" s="157">
        <f t="shared" si="0"/>
        <v>21</v>
      </c>
      <c r="I22" s="157" t="str">
        <f>+IF(VLOOKUP(A22,'Estado SCI'!$A$16:$G$59,7,0)="","",VLOOKUP(A22,'Estado SCI'!$A$16:$G$59,7,0))</f>
        <v>Si</v>
      </c>
      <c r="J22" s="158">
        <f t="shared" si="2"/>
        <v>1</v>
      </c>
      <c r="K22" s="159">
        <f t="shared" si="1"/>
        <v>1</v>
      </c>
    </row>
    <row r="23" spans="1:11" ht="15" customHeight="1" x14ac:dyDescent="0.25">
      <c r="A23" s="157" t="s">
        <v>167</v>
      </c>
      <c r="B23" s="157" t="s">
        <v>61</v>
      </c>
      <c r="C23" s="157" t="s">
        <v>88</v>
      </c>
      <c r="D23" s="157" t="s">
        <v>40</v>
      </c>
      <c r="E23" s="157" t="s">
        <v>77</v>
      </c>
      <c r="F23" s="157" t="str">
        <f>+VLOOKUP(A23,'Estado SCI'!$A$16:$I$59,9,0)</f>
        <v>Mantenimiento del control</v>
      </c>
      <c r="G23" s="157">
        <f>+VLOOKUP(A23,'Estado SCI'!$A$16:$L$59,12,0)</f>
        <v>40.234567891234001</v>
      </c>
      <c r="H23" s="157">
        <f t="shared" si="0"/>
        <v>22</v>
      </c>
      <c r="I23" s="157" t="str">
        <f>+IF(VLOOKUP(A23,'Estado SCI'!$A$16:$G$59,7,0)="","",VLOOKUP(A23,'Estado SCI'!$A$16:$G$59,7,0))</f>
        <v>Si</v>
      </c>
      <c r="J23" s="158">
        <f t="shared" si="2"/>
        <v>1</v>
      </c>
      <c r="K23" s="159">
        <f t="shared" si="1"/>
        <v>1</v>
      </c>
    </row>
    <row r="24" spans="1:11" ht="15" customHeight="1" x14ac:dyDescent="0.25">
      <c r="A24" s="157" t="s">
        <v>168</v>
      </c>
      <c r="B24" s="157" t="str">
        <f>+VLOOKUP(A24,'Estado SCI'!$A$16:$C$59,3,0)</f>
        <v>ACTIVIDADES DE CONTROL</v>
      </c>
      <c r="C24" s="157" t="s">
        <v>88</v>
      </c>
      <c r="D24" s="157" t="s">
        <v>34</v>
      </c>
      <c r="E24" s="157" t="s">
        <v>81</v>
      </c>
      <c r="F24" s="157" t="str">
        <f>+VLOOKUP(A24,'Estado SCI'!$A$16:$I$59,9,0)</f>
        <v>Mantenimiento del control</v>
      </c>
      <c r="G24" s="157">
        <f>+VLOOKUP(A24,'Estado SCI'!$A$16:$L$59,12,0)</f>
        <v>60.31</v>
      </c>
      <c r="H24" s="157">
        <f t="shared" si="0"/>
        <v>23</v>
      </c>
      <c r="I24" s="157" t="str">
        <f>+IF(VLOOKUP(A24,'Estado SCI'!$A$16:$G$59,7,0)="","",VLOOKUP(A24,'Estado SCI'!$A$16:$G$59,7,0))</f>
        <v>Si</v>
      </c>
      <c r="J24" s="158">
        <f t="shared" si="2"/>
        <v>1</v>
      </c>
      <c r="K24" s="159">
        <f t="shared" si="1"/>
        <v>1</v>
      </c>
    </row>
    <row r="25" spans="1:11" ht="15" customHeight="1" x14ac:dyDescent="0.25">
      <c r="A25" s="157" t="s">
        <v>169</v>
      </c>
      <c r="B25" s="157" t="s">
        <v>79</v>
      </c>
      <c r="C25" s="157" t="s">
        <v>88</v>
      </c>
      <c r="D25" s="157" t="s">
        <v>37</v>
      </c>
      <c r="E25" s="157" t="s">
        <v>82</v>
      </c>
      <c r="F25" s="157" t="str">
        <f>+VLOOKUP(A25,'Estado SCI'!$A$16:$I$59,9,0)</f>
        <v>Mantenimiento del control</v>
      </c>
      <c r="G25" s="157">
        <f>+VLOOKUP(A25,'Estado SCI'!$A$16:$L$59,12,0)</f>
        <v>60.323</v>
      </c>
      <c r="H25" s="157">
        <f t="shared" si="0"/>
        <v>24</v>
      </c>
      <c r="I25" s="157" t="str">
        <f>+IF(VLOOKUP(A25,'Estado SCI'!$A$16:$G$59,7,0)="","",VLOOKUP(A25,'Estado SCI'!$A$16:$G$59,7,0))</f>
        <v>Si</v>
      </c>
      <c r="J25" s="158">
        <f t="shared" si="2"/>
        <v>1</v>
      </c>
      <c r="K25" s="159">
        <f t="shared" si="1"/>
        <v>1</v>
      </c>
    </row>
    <row r="26" spans="1:11" ht="15" customHeight="1" x14ac:dyDescent="0.25">
      <c r="A26" s="157" t="s">
        <v>170</v>
      </c>
      <c r="B26" s="157" t="s">
        <v>79</v>
      </c>
      <c r="C26" s="157" t="s">
        <v>88</v>
      </c>
      <c r="D26" s="157" t="s">
        <v>40</v>
      </c>
      <c r="E26" s="157" t="s">
        <v>83</v>
      </c>
      <c r="F26" s="157" t="str">
        <f>+VLOOKUP(A26,'Estado SCI'!$A$16:$I$59,9,0)</f>
        <v>Mantenimiento del control</v>
      </c>
      <c r="G26" s="157">
        <f>+VLOOKUP(A26,'Estado SCI'!$A$16:$L$59,12,0)</f>
        <v>60.323999999999998</v>
      </c>
      <c r="H26" s="157">
        <f t="shared" si="0"/>
        <v>25</v>
      </c>
      <c r="I26" s="157" t="str">
        <f>+IF(VLOOKUP(A26,'Estado SCI'!$A$16:$G$59,7,0)="","",VLOOKUP(A26,'Estado SCI'!$A$16:$G$59,7,0))</f>
        <v>Si</v>
      </c>
      <c r="J26" s="158">
        <f t="shared" si="2"/>
        <v>1</v>
      </c>
      <c r="K26" s="159">
        <f t="shared" si="1"/>
        <v>1</v>
      </c>
    </row>
    <row r="27" spans="1:11" ht="15.75" customHeight="1" x14ac:dyDescent="0.25">
      <c r="A27" s="157" t="s">
        <v>171</v>
      </c>
      <c r="B27" s="157" t="s">
        <v>79</v>
      </c>
      <c r="C27" s="157" t="s">
        <v>88</v>
      </c>
      <c r="D27" s="157" t="s">
        <v>42</v>
      </c>
      <c r="E27" s="157" t="s">
        <v>84</v>
      </c>
      <c r="F27" s="157" t="str">
        <f>+VLOOKUP(A27,'Estado SCI'!$A$16:$I$59,9,0)</f>
        <v>Mantenimiento del control</v>
      </c>
      <c r="G27" s="157">
        <f>+VLOOKUP(A27,'Estado SCI'!$A$16:$L$59,12,0)</f>
        <v>60.325000000000003</v>
      </c>
      <c r="H27" s="157">
        <f t="shared" si="0"/>
        <v>26</v>
      </c>
      <c r="I27" s="157" t="str">
        <f>+IF(VLOOKUP(A27,'Estado SCI'!$A$16:$G$59,7,0)="","",VLOOKUP(A27,'Estado SCI'!$A$16:$G$59,7,0))</f>
        <v>Si</v>
      </c>
      <c r="J27" s="158">
        <f t="shared" si="2"/>
        <v>1</v>
      </c>
      <c r="K27" s="159">
        <f t="shared" si="1"/>
        <v>1</v>
      </c>
    </row>
    <row r="28" spans="1:11" ht="15" customHeight="1" x14ac:dyDescent="0.25">
      <c r="A28" s="157" t="s">
        <v>172</v>
      </c>
      <c r="B28" s="157" t="s">
        <v>79</v>
      </c>
      <c r="C28" s="157" t="s">
        <v>98</v>
      </c>
      <c r="D28" s="157" t="s">
        <v>44</v>
      </c>
      <c r="E28" s="157" t="s">
        <v>85</v>
      </c>
      <c r="F28" s="157" t="str">
        <f>+VLOOKUP(A28,'Estado SCI'!$A$16:$I$59,9,0)</f>
        <v>Mantenimiento del control</v>
      </c>
      <c r="G28" s="157">
        <f>+VLOOKUP(A28,'Estado SCI'!$A$16:$L$59,12,0)</f>
        <v>60.326000000000001</v>
      </c>
      <c r="H28" s="157">
        <f t="shared" si="0"/>
        <v>27</v>
      </c>
      <c r="I28" s="157" t="str">
        <f>+IF(VLOOKUP(A28,'Estado SCI'!$A$16:$G$59,7,0)="","",VLOOKUP(A28,'Estado SCI'!$A$16:$G$59,7,0))</f>
        <v>Si</v>
      </c>
      <c r="J28" s="158">
        <f t="shared" si="2"/>
        <v>1</v>
      </c>
      <c r="K28" s="159">
        <f t="shared" si="1"/>
        <v>1</v>
      </c>
    </row>
    <row r="29" spans="1:11" ht="15" customHeight="1" x14ac:dyDescent="0.25">
      <c r="A29" s="157" t="s">
        <v>173</v>
      </c>
      <c r="B29" s="157" t="str">
        <f>+VLOOKUP(A29,'Estado SCI'!$A$16:$C$59,3,0)</f>
        <v>INFORMACION Y COMUNICACIÓN</v>
      </c>
      <c r="C29" s="157" t="s">
        <v>98</v>
      </c>
      <c r="D29" s="157" t="s">
        <v>34</v>
      </c>
      <c r="E29" s="157" t="s">
        <v>89</v>
      </c>
      <c r="F29" s="157" t="str">
        <f>+VLOOKUP(A29,'Estado SCI'!$A$16:$I$59,9,0)</f>
        <v>Mantenimiento del control</v>
      </c>
      <c r="G29" s="157">
        <f>+VLOOKUP(A29,'Estado SCI'!$A$16:$L$59,12,0)</f>
        <v>80.412000000000006</v>
      </c>
      <c r="H29" s="157">
        <f t="shared" si="0"/>
        <v>28</v>
      </c>
      <c r="I29" s="157" t="str">
        <f>+IF(VLOOKUP(A29,'Estado SCI'!$A$16:$G$59,7,0)="","",VLOOKUP(A29,'Estado SCI'!$A$16:$G$59,7,0))</f>
        <v>Si</v>
      </c>
      <c r="J29" s="158">
        <f t="shared" si="2"/>
        <v>1</v>
      </c>
      <c r="K29" s="159">
        <f t="shared" si="1"/>
        <v>1</v>
      </c>
    </row>
    <row r="30" spans="1:11" ht="15" customHeight="1" x14ac:dyDescent="0.25">
      <c r="A30" s="157" t="s">
        <v>174</v>
      </c>
      <c r="B30" s="157" t="s">
        <v>87</v>
      </c>
      <c r="C30" s="157" t="s">
        <v>98</v>
      </c>
      <c r="D30" s="157" t="s">
        <v>37</v>
      </c>
      <c r="E30" s="157" t="s">
        <v>90</v>
      </c>
      <c r="F30" s="157" t="str">
        <f>+VLOOKUP(A30,'Estado SCI'!$A$16:$I$59,9,0)</f>
        <v>Mantenimiento del control</v>
      </c>
      <c r="G30" s="157">
        <f>+VLOOKUP(A30,'Estado SCI'!$A$16:$L$59,12,0)</f>
        <v>80.412300000000002</v>
      </c>
      <c r="H30" s="157">
        <f t="shared" si="0"/>
        <v>29</v>
      </c>
      <c r="I30" s="157" t="str">
        <f>+IF(VLOOKUP(A30,'Estado SCI'!$A$16:$G$59,7,0)="","",VLOOKUP(A30,'Estado SCI'!$A$16:$G$59,7,0))</f>
        <v>Si</v>
      </c>
      <c r="J30" s="158">
        <f t="shared" si="2"/>
        <v>1</v>
      </c>
      <c r="K30" s="159">
        <f t="shared" si="1"/>
        <v>1</v>
      </c>
    </row>
    <row r="31" spans="1:11" ht="15.75" customHeight="1" x14ac:dyDescent="0.25">
      <c r="A31" s="157" t="s">
        <v>175</v>
      </c>
      <c r="B31" s="157" t="s">
        <v>87</v>
      </c>
      <c r="C31" s="157" t="s">
        <v>98</v>
      </c>
      <c r="D31" s="157" t="s">
        <v>40</v>
      </c>
      <c r="E31" s="157" t="s">
        <v>91</v>
      </c>
      <c r="F31" s="157" t="str">
        <f>+VLOOKUP(A31,'Estado SCI'!$A$16:$I$59,9,0)</f>
        <v>Mantenimiento del control</v>
      </c>
      <c r="G31" s="157">
        <f>+VLOOKUP(A31,'Estado SCI'!$A$16:$L$59,12,0)</f>
        <v>80.41234</v>
      </c>
      <c r="H31" s="157">
        <f t="shared" si="0"/>
        <v>30</v>
      </c>
      <c r="I31" s="157" t="str">
        <f>+IF(VLOOKUP(A31,'Estado SCI'!$A$16:$G$59,7,0)="","",VLOOKUP(A31,'Estado SCI'!$A$16:$G$59,7,0))</f>
        <v>Si</v>
      </c>
      <c r="J31" s="158">
        <f t="shared" si="2"/>
        <v>1</v>
      </c>
      <c r="K31" s="159">
        <f t="shared" si="1"/>
        <v>1</v>
      </c>
    </row>
    <row r="32" spans="1:11" x14ac:dyDescent="0.25">
      <c r="A32" s="157" t="s">
        <v>176</v>
      </c>
      <c r="B32" s="157" t="s">
        <v>87</v>
      </c>
      <c r="C32" s="157" t="s">
        <v>104</v>
      </c>
      <c r="D32" s="157" t="s">
        <v>42</v>
      </c>
      <c r="E32" s="157" t="s">
        <v>92</v>
      </c>
      <c r="F32" s="157" t="str">
        <f>+VLOOKUP(A32,'Estado SCI'!$A$16:$I$59,9,0)</f>
        <v>Mantenimiento del control</v>
      </c>
      <c r="G32" s="157">
        <f>+VLOOKUP(A32,'Estado SCI'!$A$16:$L$59,12,0)</f>
        <v>80.412345000000002</v>
      </c>
      <c r="H32" s="157">
        <f t="shared" si="0"/>
        <v>31</v>
      </c>
      <c r="I32" s="157" t="str">
        <f>+IF(VLOOKUP(A32,'Estado SCI'!$A$16:$G$59,7,0)="","",VLOOKUP(A32,'Estado SCI'!$A$16:$G$59,7,0))</f>
        <v>Si</v>
      </c>
      <c r="J32" s="158">
        <f t="shared" si="2"/>
        <v>1</v>
      </c>
      <c r="K32" s="159">
        <f t="shared" si="1"/>
        <v>1</v>
      </c>
    </row>
    <row r="33" spans="1:11" x14ac:dyDescent="0.25">
      <c r="A33" s="157" t="s">
        <v>177</v>
      </c>
      <c r="B33" s="157" t="s">
        <v>87</v>
      </c>
      <c r="C33" s="157" t="s">
        <v>178</v>
      </c>
      <c r="D33" s="157" t="s">
        <v>44</v>
      </c>
      <c r="E33" s="157" t="s">
        <v>93</v>
      </c>
      <c r="F33" s="157" t="str">
        <f>+VLOOKUP(A33,'Estado SCI'!$A$16:$I$59,9,0)</f>
        <v>Mantenimiento del control</v>
      </c>
      <c r="G33" s="157">
        <f>+VLOOKUP(A33,'Estado SCI'!$A$16:$L$59,12,0)</f>
        <v>80.412345599999995</v>
      </c>
      <c r="H33" s="157">
        <f t="shared" si="0"/>
        <v>32</v>
      </c>
      <c r="I33" s="157" t="str">
        <f>+IF(VLOOKUP(A33,'Estado SCI'!$A$16:$G$59,7,0)="","",VLOOKUP(A33,'Estado SCI'!$A$16:$G$59,7,0))</f>
        <v>Si</v>
      </c>
      <c r="J33" s="158">
        <f t="shared" si="2"/>
        <v>1</v>
      </c>
      <c r="K33" s="159">
        <f t="shared" si="1"/>
        <v>1</v>
      </c>
    </row>
    <row r="34" spans="1:11" x14ac:dyDescent="0.25">
      <c r="A34" s="157" t="s">
        <v>179</v>
      </c>
      <c r="B34" s="157" t="s">
        <v>87</v>
      </c>
      <c r="C34" s="157" t="s">
        <v>178</v>
      </c>
      <c r="D34" s="157" t="s">
        <v>46</v>
      </c>
      <c r="E34" s="157" t="s">
        <v>94</v>
      </c>
      <c r="F34" s="157" t="str">
        <f>+VLOOKUP(A34,'Estado SCI'!$A$16:$I$59,9,0)</f>
        <v>Mantenimiento del control</v>
      </c>
      <c r="G34" s="157">
        <f>+VLOOKUP(A34,'Estado SCI'!$A$16:$L$59,12,0)</f>
        <v>80.412345669999993</v>
      </c>
      <c r="H34" s="157">
        <f t="shared" si="0"/>
        <v>33</v>
      </c>
      <c r="I34" s="157" t="str">
        <f>+IF(VLOOKUP(A34,'Estado SCI'!$A$16:$G$59,7,0)="","",VLOOKUP(A34,'Estado SCI'!$A$16:$G$59,7,0))</f>
        <v>Si</v>
      </c>
      <c r="J34" s="158">
        <f t="shared" si="2"/>
        <v>1</v>
      </c>
      <c r="K34" s="159">
        <f t="shared" si="1"/>
        <v>1</v>
      </c>
    </row>
    <row r="35" spans="1:11" x14ac:dyDescent="0.25">
      <c r="A35" s="157" t="s">
        <v>180</v>
      </c>
      <c r="B35" s="157" t="s">
        <v>87</v>
      </c>
      <c r="C35" s="157" t="s">
        <v>178</v>
      </c>
      <c r="D35" s="157" t="s">
        <v>48</v>
      </c>
      <c r="E35" s="157" t="s">
        <v>95</v>
      </c>
      <c r="F35" s="157" t="str">
        <f>+VLOOKUP(A35,'Estado SCI'!$A$16:$I$59,9,0)</f>
        <v>Mantenimiento del control</v>
      </c>
      <c r="G35" s="157">
        <f>+VLOOKUP(A35,'Estado SCI'!$A$16:$L$59,12,0)</f>
        <v>80.412345677999994</v>
      </c>
      <c r="H35" s="157">
        <f t="shared" si="0"/>
        <v>34</v>
      </c>
      <c r="I35" s="157" t="str">
        <f>+IF(VLOOKUP(A35,'Estado SCI'!$A$16:$G$59,7,0)="","",VLOOKUP(A35,'Estado SCI'!$A$16:$G$59,7,0))</f>
        <v>Si</v>
      </c>
      <c r="J35" s="158">
        <f t="shared" si="2"/>
        <v>1</v>
      </c>
      <c r="K35" s="159">
        <f t="shared" si="1"/>
        <v>1</v>
      </c>
    </row>
    <row r="36" spans="1:11" x14ac:dyDescent="0.25">
      <c r="A36" s="157" t="s">
        <v>181</v>
      </c>
      <c r="B36" s="157" t="str">
        <f>+VLOOKUP(A36,'Estado SCI'!$A$16:$C$59,3,0)</f>
        <v>ACTIVIDADES DE MONITOREO</v>
      </c>
      <c r="C36" s="157" t="s">
        <v>178</v>
      </c>
      <c r="D36" s="157" t="s">
        <v>34</v>
      </c>
      <c r="E36" s="157" t="s">
        <v>99</v>
      </c>
      <c r="F36" s="157" t="str">
        <f>+VLOOKUP(A36,'Estado SCI'!$A$16:$I$59,9,0)</f>
        <v>Mantenimiento del control</v>
      </c>
      <c r="G36" s="157">
        <f>+VLOOKUP(A36,'Estado SCI'!$A$16:$L$59,12,0)</f>
        <v>120.851</v>
      </c>
      <c r="H36" s="157">
        <f t="shared" si="0"/>
        <v>36</v>
      </c>
      <c r="I36" s="157" t="str">
        <f>+IF(VLOOKUP(A36,'Estado SCI'!$A$16:$G$59,7,0)="","",VLOOKUP(A36,'Estado SCI'!$A$16:$G$59,7,0))</f>
        <v>Si</v>
      </c>
      <c r="J36" s="158">
        <f t="shared" si="2"/>
        <v>1</v>
      </c>
      <c r="K36" s="159">
        <f t="shared" si="1"/>
        <v>0.9</v>
      </c>
    </row>
    <row r="37" spans="1:11" x14ac:dyDescent="0.25">
      <c r="A37" s="157" t="s">
        <v>182</v>
      </c>
      <c r="B37" s="157" t="s">
        <v>97</v>
      </c>
      <c r="C37" s="157" t="s">
        <v>178</v>
      </c>
      <c r="D37" s="157" t="s">
        <v>42</v>
      </c>
      <c r="E37" s="157" t="s">
        <v>100</v>
      </c>
      <c r="F37" s="157" t="str">
        <f>+VLOOKUP(A37,'Estado SCI'!$A$16:$I$59,9,0)</f>
        <v>Mantenimiento del control</v>
      </c>
      <c r="G37" s="157">
        <f>+VLOOKUP(A37,'Estado SCI'!$A$16:$L$59,12,0)</f>
        <v>120.85120000000001</v>
      </c>
      <c r="H37" s="157">
        <f t="shared" si="0"/>
        <v>37</v>
      </c>
      <c r="I37" s="157" t="str">
        <f>+IF(VLOOKUP(A37,'Estado SCI'!$A$16:$G$59,7,0)="","",VLOOKUP(A37,'Estado SCI'!$A$16:$G$59,7,0))</f>
        <v>Si</v>
      </c>
      <c r="J37" s="158">
        <f t="shared" si="2"/>
        <v>1</v>
      </c>
      <c r="K37" s="159">
        <f t="shared" si="1"/>
        <v>0.9</v>
      </c>
    </row>
    <row r="38" spans="1:11" x14ac:dyDescent="0.25">
      <c r="A38" s="157" t="s">
        <v>183</v>
      </c>
      <c r="B38" s="157" t="s">
        <v>97</v>
      </c>
      <c r="C38" s="157" t="s">
        <v>68</v>
      </c>
      <c r="D38" s="157" t="s">
        <v>46</v>
      </c>
      <c r="E38" s="157" t="s">
        <v>101</v>
      </c>
      <c r="F38" s="157" t="str">
        <f>+VLOOKUP(A38,'Estado SCI'!$A$16:$I$59,9,0)</f>
        <v>Mantenimiento del control</v>
      </c>
      <c r="G38" s="157">
        <f>+VLOOKUP(A38,'Estado SCI'!$A$16:$L$59,12,0)</f>
        <v>120.85123</v>
      </c>
      <c r="H38" s="157">
        <f t="shared" si="0"/>
        <v>38</v>
      </c>
      <c r="I38" s="157" t="str">
        <f>+IF(VLOOKUP(A38,'Estado SCI'!$A$16:$G$59,7,0)="","",VLOOKUP(A38,'Estado SCI'!$A$16:$G$59,7,0))</f>
        <v>Si</v>
      </c>
      <c r="J38" s="158">
        <f t="shared" si="2"/>
        <v>1</v>
      </c>
      <c r="K38" s="159">
        <f t="shared" si="1"/>
        <v>0.9</v>
      </c>
    </row>
    <row r="39" spans="1:11" x14ac:dyDescent="0.25">
      <c r="A39" s="157" t="s">
        <v>184</v>
      </c>
      <c r="B39" s="157" t="s">
        <v>97</v>
      </c>
      <c r="C39" s="157" t="s">
        <v>68</v>
      </c>
      <c r="D39" s="157" t="s">
        <v>48</v>
      </c>
      <c r="E39" s="157" t="s">
        <v>102</v>
      </c>
      <c r="F39" s="157" t="str">
        <f>+VLOOKUP(A39,'Estado SCI'!$A$16:$I$59,9,0)</f>
        <v>Mantenimiento del control</v>
      </c>
      <c r="G39" s="157">
        <f>+VLOOKUP(A39,'Estado SCI'!$A$16:$L$59,12,0)</f>
        <v>120.85123400000001</v>
      </c>
      <c r="H39" s="157">
        <f t="shared" si="0"/>
        <v>39</v>
      </c>
      <c r="I39" s="157" t="str">
        <f>+IF(VLOOKUP(A39,'Estado SCI'!$A$16:$G$59,7,0)="","",VLOOKUP(A39,'Estado SCI'!$A$16:$G$59,7,0))</f>
        <v>Si</v>
      </c>
      <c r="J39" s="158">
        <f t="shared" si="2"/>
        <v>1</v>
      </c>
      <c r="K39" s="159">
        <f t="shared" si="1"/>
        <v>0.9</v>
      </c>
    </row>
    <row r="40" spans="1:11" x14ac:dyDescent="0.25">
      <c r="A40" s="157" t="s">
        <v>185</v>
      </c>
      <c r="B40" s="157" t="s">
        <v>97</v>
      </c>
      <c r="C40" s="157" t="s">
        <v>68</v>
      </c>
      <c r="D40" s="157" t="s">
        <v>50</v>
      </c>
      <c r="E40" s="157" t="s">
        <v>105</v>
      </c>
      <c r="F40" s="157" t="str">
        <f>+VLOOKUP(A40,'Estado SCI'!$A$16:$I$59,9,0)</f>
        <v>Mantenimiento del control</v>
      </c>
      <c r="G40" s="157">
        <f>+VLOOKUP(A40,'Estado SCI'!$A$16:$L$59,12,0)</f>
        <v>120.8512345</v>
      </c>
      <c r="H40" s="157">
        <f t="shared" si="0"/>
        <v>40</v>
      </c>
      <c r="I40" s="157" t="str">
        <f>+IF(VLOOKUP(A40,'Estado SCI'!$A$16:$G$59,7,0)="","",VLOOKUP(A40,'Estado SCI'!$A$16:$G$59,7,0))</f>
        <v>Si</v>
      </c>
      <c r="J40" s="158">
        <f t="shared" si="2"/>
        <v>1</v>
      </c>
      <c r="K40" s="159">
        <f t="shared" si="1"/>
        <v>0.9</v>
      </c>
    </row>
    <row r="41" spans="1:11" x14ac:dyDescent="0.25">
      <c r="A41" s="157" t="s">
        <v>186</v>
      </c>
      <c r="B41" s="157" t="s">
        <v>97</v>
      </c>
      <c r="C41" s="157" t="s">
        <v>68</v>
      </c>
      <c r="D41" s="157" t="s">
        <v>34</v>
      </c>
      <c r="E41" s="157" t="s">
        <v>108</v>
      </c>
      <c r="F41" s="157" t="str">
        <f>+VLOOKUP(A41,'Estado SCI'!$A$16:$I$59,9,0)</f>
        <v>Deficiencia de control</v>
      </c>
      <c r="G41" s="157">
        <f>+VLOOKUP(A41,'Estado SCI'!$A$16:$L$59,12,0)</f>
        <v>80.851234559999995</v>
      </c>
      <c r="H41" s="157">
        <f t="shared" si="0"/>
        <v>35</v>
      </c>
      <c r="I41" s="157" t="str">
        <f>+IF(VLOOKUP(A41,'Estado SCI'!$A$16:$G$59,7,0)="","",VLOOKUP(A41,'Estado SCI'!$A$16:$G$59,7,0))</f>
        <v>No</v>
      </c>
      <c r="J41" s="158">
        <f t="shared" si="2"/>
        <v>0</v>
      </c>
      <c r="K41" s="159">
        <f t="shared" si="1"/>
        <v>0.9</v>
      </c>
    </row>
    <row r="42" spans="1:11" x14ac:dyDescent="0.25">
      <c r="A42" s="157" t="s">
        <v>187</v>
      </c>
      <c r="B42" s="157" t="s">
        <v>97</v>
      </c>
      <c r="C42" s="157" t="s">
        <v>73</v>
      </c>
      <c r="D42" s="157" t="s">
        <v>37</v>
      </c>
      <c r="E42" s="157" t="s">
        <v>109</v>
      </c>
      <c r="F42" s="157" t="str">
        <f>+VLOOKUP(A42,'Estado SCI'!$A$16:$I$59,9,0)</f>
        <v>Mantenimiento del control</v>
      </c>
      <c r="G42" s="157">
        <f>+VLOOKUP(A42,'Estado SCI'!$A$16:$L$59,12,0)</f>
        <v>120.85123456700001</v>
      </c>
      <c r="H42" s="157">
        <f t="shared" si="0"/>
        <v>41</v>
      </c>
      <c r="I42" s="157" t="str">
        <f>+IF(VLOOKUP(A42,'Estado SCI'!$A$16:$G$59,7,0)="","",VLOOKUP(A42,'Estado SCI'!$A$16:$G$59,7,0))</f>
        <v>Si</v>
      </c>
      <c r="J42" s="158">
        <f t="shared" si="2"/>
        <v>1</v>
      </c>
      <c r="K42" s="159">
        <f t="shared" si="1"/>
        <v>0.9</v>
      </c>
    </row>
    <row r="43" spans="1:11" x14ac:dyDescent="0.25">
      <c r="A43" s="157" t="s">
        <v>188</v>
      </c>
      <c r="B43" s="157" t="s">
        <v>97</v>
      </c>
      <c r="C43" s="157" t="s">
        <v>73</v>
      </c>
      <c r="D43" s="157" t="s">
        <v>40</v>
      </c>
      <c r="E43" s="157" t="s">
        <v>110</v>
      </c>
      <c r="F43" s="157" t="str">
        <f>+VLOOKUP(A43,'Estado SCI'!$A$16:$I$59,9,0)</f>
        <v>Mantenimiento del control</v>
      </c>
      <c r="G43" s="157">
        <f>+VLOOKUP(A43,'Estado SCI'!$A$16:$L$59,12,0)</f>
        <v>120.85123456780001</v>
      </c>
      <c r="H43" s="157">
        <f t="shared" si="0"/>
        <v>42</v>
      </c>
      <c r="I43" s="157" t="str">
        <f>+IF(VLOOKUP(A43,'Estado SCI'!$A$16:$G$59,7,0)="","",VLOOKUP(A43,'Estado SCI'!$A$16:$G$59,7,0))</f>
        <v>Si</v>
      </c>
      <c r="J43" s="158">
        <f t="shared" si="2"/>
        <v>1</v>
      </c>
      <c r="K43" s="159">
        <f t="shared" si="1"/>
        <v>0.9</v>
      </c>
    </row>
    <row r="44" spans="1:11" x14ac:dyDescent="0.25">
      <c r="A44" s="157" t="s">
        <v>189</v>
      </c>
      <c r="B44" s="157" t="s">
        <v>97</v>
      </c>
      <c r="C44" s="157" t="s">
        <v>73</v>
      </c>
      <c r="D44" s="157" t="s">
        <v>42</v>
      </c>
      <c r="E44" s="157" t="s">
        <v>111</v>
      </c>
      <c r="F44" s="157" t="str">
        <f>+VLOOKUP(A44,'Estado SCI'!$A$16:$I$59,9,0)</f>
        <v>Mantenimiento del control</v>
      </c>
      <c r="G44" s="157">
        <f>+VLOOKUP(A44,'Estado SCI'!$A$16:$L$59,12,0)</f>
        <v>120.85123456789</v>
      </c>
      <c r="H44" s="157">
        <f t="shared" si="0"/>
        <v>43</v>
      </c>
      <c r="I44" s="157" t="str">
        <f>+IF(VLOOKUP(A44,'Estado SCI'!$A$16:$G$59,7,0)="","",VLOOKUP(A44,'Estado SCI'!$A$16:$G$59,7,0))</f>
        <v>Si</v>
      </c>
      <c r="J44" s="158">
        <f t="shared" si="2"/>
        <v>1</v>
      </c>
      <c r="K44" s="159">
        <f t="shared" si="1"/>
        <v>0.9</v>
      </c>
    </row>
    <row r="45" spans="1:11" x14ac:dyDescent="0.25">
      <c r="A45" s="157" t="s">
        <v>190</v>
      </c>
      <c r="B45" s="157" t="s">
        <v>97</v>
      </c>
      <c r="C45" s="157" t="s">
        <v>73</v>
      </c>
      <c r="D45" s="157" t="s">
        <v>44</v>
      </c>
      <c r="E45" s="157" t="s">
        <v>112</v>
      </c>
      <c r="F45" s="157" t="str">
        <f>+VLOOKUP(A45,'Estado SCI'!$A$16:$I$59,9,0)</f>
        <v>Mantenimiento del control</v>
      </c>
      <c r="G45" s="157">
        <f>+VLOOKUP(A45,'Estado SCI'!$A$16:$L$59,12,0)</f>
        <v>120.851234567891</v>
      </c>
      <c r="H45" s="157">
        <f t="shared" si="0"/>
        <v>44</v>
      </c>
      <c r="I45" s="157" t="str">
        <f>+IF(VLOOKUP(A45,'Estado SCI'!$A$16:$G$59,7,0)="","",VLOOKUP(A45,'Estado SCI'!$A$16:$G$59,7,0))</f>
        <v>Si</v>
      </c>
      <c r="J45" s="158">
        <f t="shared" si="2"/>
        <v>1</v>
      </c>
      <c r="K45" s="159">
        <f t="shared" si="1"/>
        <v>0.9</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Felipe</cp:lastModifiedBy>
  <cp:revision/>
  <dcterms:created xsi:type="dcterms:W3CDTF">2020-04-28T13:58:09Z</dcterms:created>
  <dcterms:modified xsi:type="dcterms:W3CDTF">2022-06-29T16:56:27Z</dcterms:modified>
</cp:coreProperties>
</file>